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2200" windowHeight="9060"/>
  </bookViews>
  <sheets>
    <sheet name="Tarefeh 93-06-13" sheetId="2" r:id="rId1"/>
    <sheet name="محاسبه قیمت خدمات میزبانی" sheetId="3" r:id="rId2"/>
  </sheets>
  <calcPr calcId="152511"/>
</workbook>
</file>

<file path=xl/calcChain.xml><?xml version="1.0" encoding="utf-8"?>
<calcChain xmlns="http://schemas.openxmlformats.org/spreadsheetml/2006/main">
  <c r="F91" i="2" l="1"/>
  <c r="F90" i="2"/>
  <c r="E91" i="2"/>
  <c r="E90" i="2"/>
  <c r="D91" i="2"/>
  <c r="D90" i="2"/>
  <c r="C91" i="2"/>
  <c r="C90" i="2"/>
  <c r="J37" i="3" l="1"/>
  <c r="I37" i="3"/>
  <c r="H37" i="3"/>
  <c r="J36" i="3"/>
  <c r="I36" i="3"/>
  <c r="H36" i="3"/>
  <c r="J35" i="3"/>
  <c r="I35" i="3"/>
  <c r="H35" i="3"/>
  <c r="J34" i="3"/>
  <c r="I34" i="3"/>
  <c r="H34" i="3"/>
  <c r="P33" i="3"/>
  <c r="J33" i="3"/>
  <c r="I33" i="3"/>
  <c r="H33" i="3"/>
  <c r="J32" i="3"/>
  <c r="I32" i="3"/>
  <c r="H32" i="3"/>
  <c r="J31" i="3"/>
  <c r="I31" i="3"/>
  <c r="H31" i="3"/>
  <c r="G11" i="3"/>
  <c r="G12" i="3" s="1"/>
  <c r="F12" i="3" s="1"/>
  <c r="F11" i="3"/>
  <c r="G26" i="3" s="1"/>
  <c r="G9" i="3"/>
  <c r="G10" i="3" s="1"/>
  <c r="F10" i="3" s="1"/>
  <c r="F9" i="3"/>
  <c r="K26" i="3" s="1"/>
  <c r="G7" i="3"/>
  <c r="G8" i="3" s="1"/>
  <c r="F8" i="3" s="1"/>
  <c r="F7" i="3"/>
  <c r="I26" i="3" s="1"/>
  <c r="G5" i="3"/>
  <c r="G6" i="3" s="1"/>
  <c r="F6" i="3" s="1"/>
  <c r="F5" i="3"/>
  <c r="M26" i="3" s="1"/>
  <c r="L26" i="3" l="1"/>
  <c r="L25" i="3"/>
  <c r="L24" i="3"/>
  <c r="L23" i="3"/>
  <c r="L22" i="3"/>
  <c r="L21" i="3"/>
  <c r="L20" i="3"/>
  <c r="H26" i="3"/>
  <c r="H25" i="3"/>
  <c r="H24" i="3"/>
  <c r="H23" i="3"/>
  <c r="H22" i="3"/>
  <c r="H21" i="3"/>
  <c r="H20" i="3"/>
  <c r="J26" i="3"/>
  <c r="J25" i="3"/>
  <c r="J24" i="3"/>
  <c r="J23" i="3"/>
  <c r="J22" i="3"/>
  <c r="J21" i="3"/>
  <c r="J20" i="3"/>
  <c r="F26" i="3"/>
  <c r="F25" i="3"/>
  <c r="F24" i="3"/>
  <c r="F23" i="3"/>
  <c r="F22" i="3"/>
  <c r="F21" i="3"/>
  <c r="F20" i="3"/>
  <c r="G20" i="3"/>
  <c r="I20" i="3"/>
  <c r="K20" i="3"/>
  <c r="M20" i="3"/>
  <c r="G21" i="3"/>
  <c r="I21" i="3"/>
  <c r="K21" i="3"/>
  <c r="M21" i="3"/>
  <c r="G22" i="3"/>
  <c r="I22" i="3"/>
  <c r="K22" i="3"/>
  <c r="M22" i="3"/>
  <c r="G23" i="3"/>
  <c r="I23" i="3"/>
  <c r="K23" i="3"/>
  <c r="M23" i="3"/>
  <c r="G24" i="3"/>
  <c r="I24" i="3"/>
  <c r="K24" i="3"/>
  <c r="M24" i="3"/>
  <c r="G25" i="3"/>
  <c r="I25" i="3"/>
  <c r="K25" i="3"/>
  <c r="M25" i="3"/>
  <c r="F9" i="2" l="1"/>
  <c r="O23" i="2"/>
  <c r="O20" i="2"/>
  <c r="Q20" i="2" s="1"/>
  <c r="Q19" i="2"/>
  <c r="O18" i="2"/>
  <c r="Q18" i="2" s="1"/>
  <c r="F16" i="2"/>
  <c r="F15" i="2"/>
  <c r="F13" i="2"/>
  <c r="E14" i="2" s="1"/>
  <c r="F12" i="2"/>
  <c r="F10" i="2"/>
  <c r="O25" i="2" s="1"/>
  <c r="O24" i="2"/>
  <c r="P8" i="2"/>
  <c r="Q8" i="2" s="1"/>
  <c r="P7" i="2"/>
  <c r="Q7" i="2" s="1"/>
  <c r="O6" i="2"/>
  <c r="P11" i="2" s="1"/>
  <c r="Q11" i="2" s="1"/>
  <c r="Q21" i="2" l="1"/>
  <c r="P6" i="2"/>
  <c r="Q6" i="2" s="1"/>
  <c r="P13" i="2" l="1"/>
  <c r="Q13" i="2" s="1"/>
  <c r="P10" i="2"/>
  <c r="Q10" i="2" s="1"/>
  <c r="P9" i="2"/>
  <c r="Q9" i="2" s="1"/>
  <c r="P12" i="2"/>
  <c r="Q12" i="2" s="1"/>
  <c r="Q14" i="2" l="1"/>
  <c r="Q22" i="2" s="1"/>
  <c r="Q23" i="2" s="1"/>
  <c r="P14" i="2"/>
  <c r="Q24" i="2" l="1"/>
  <c r="Q25" i="2" s="1"/>
  <c r="Q26" i="2" s="1"/>
  <c r="F11" i="2" s="1"/>
  <c r="F89" i="2" l="1"/>
  <c r="D89" i="2"/>
  <c r="F88" i="2"/>
  <c r="D88" i="2"/>
  <c r="F87" i="2"/>
  <c r="D87" i="2"/>
  <c r="F86" i="2"/>
  <c r="D86" i="2"/>
  <c r="F85" i="2"/>
  <c r="D85" i="2"/>
  <c r="E89" i="2"/>
  <c r="C89" i="2"/>
  <c r="E88" i="2"/>
  <c r="C88" i="2"/>
  <c r="E87" i="2"/>
  <c r="C87" i="2"/>
  <c r="E86" i="2"/>
  <c r="C86" i="2"/>
  <c r="E85" i="2"/>
  <c r="C85" i="2"/>
  <c r="E60" i="2"/>
  <c r="E53" i="2"/>
  <c r="E55" i="2"/>
  <c r="E57" i="2"/>
  <c r="E52" i="2"/>
  <c r="D59" i="2"/>
  <c r="D54" i="2"/>
  <c r="D56" i="2"/>
  <c r="D58" i="2"/>
  <c r="C60" i="2"/>
  <c r="C53" i="2"/>
  <c r="C55" i="2"/>
  <c r="C57" i="2"/>
  <c r="C52" i="2"/>
  <c r="E59" i="2"/>
  <c r="E54" i="2"/>
  <c r="E56" i="2"/>
  <c r="E58" i="2"/>
  <c r="D60" i="2"/>
  <c r="D53" i="2"/>
  <c r="D55" i="2"/>
  <c r="D57" i="2"/>
  <c r="D52" i="2"/>
  <c r="C59" i="2"/>
  <c r="C54" i="2"/>
  <c r="C56" i="2"/>
  <c r="C58" i="2"/>
  <c r="C44" i="2"/>
  <c r="E44" i="2"/>
  <c r="E39" i="2"/>
  <c r="E41" i="2"/>
  <c r="E43" i="2"/>
  <c r="D38" i="2"/>
  <c r="D40" i="2"/>
  <c r="D42" i="2"/>
  <c r="D37" i="2"/>
  <c r="C39" i="2"/>
  <c r="C41" i="2"/>
  <c r="C43" i="2"/>
  <c r="D44" i="2"/>
  <c r="E38" i="2"/>
  <c r="E40" i="2"/>
  <c r="E42" i="2"/>
  <c r="E37" i="2"/>
  <c r="D39" i="2"/>
  <c r="D41" i="2"/>
  <c r="D43" i="2"/>
  <c r="C38" i="2"/>
  <c r="C40" i="2"/>
  <c r="C42" i="2"/>
  <c r="C37" i="2"/>
  <c r="E25" i="2"/>
  <c r="E21" i="2"/>
  <c r="H24" i="2"/>
  <c r="J27" i="2"/>
  <c r="I23" i="2"/>
  <c r="D26" i="2"/>
  <c r="C22" i="2"/>
  <c r="J23" i="2"/>
  <c r="I27" i="2"/>
  <c r="C24" i="2"/>
  <c r="F21" i="2"/>
  <c r="F25" i="2"/>
  <c r="H22" i="2"/>
  <c r="G26" i="2"/>
  <c r="E26" i="2"/>
  <c r="F22" i="2"/>
  <c r="H25" i="2"/>
  <c r="H21" i="2"/>
  <c r="I24" i="2"/>
  <c r="C27" i="2"/>
  <c r="D23" i="2"/>
  <c r="I22" i="2"/>
  <c r="J26" i="2"/>
  <c r="C23" i="2"/>
  <c r="D27" i="2"/>
  <c r="F24" i="2"/>
  <c r="G21" i="2"/>
  <c r="G25" i="2"/>
  <c r="F27" i="2"/>
  <c r="E23" i="2"/>
  <c r="H26" i="2"/>
  <c r="G22" i="2"/>
  <c r="I25" i="2"/>
  <c r="I21" i="2"/>
  <c r="D24" i="2"/>
  <c r="J21" i="2"/>
  <c r="J25" i="2"/>
  <c r="D22" i="2"/>
  <c r="C26" i="2"/>
  <c r="F23" i="2"/>
  <c r="E27" i="2"/>
  <c r="G24" i="2"/>
  <c r="H27" i="2"/>
  <c r="E24" i="2"/>
  <c r="G27" i="2"/>
  <c r="H23" i="2"/>
  <c r="I26" i="2"/>
  <c r="J22" i="2"/>
  <c r="D25" i="2"/>
  <c r="D21" i="2"/>
  <c r="J24" i="2"/>
  <c r="C21" i="2"/>
  <c r="C25" i="2"/>
  <c r="E22" i="2"/>
  <c r="F26" i="2"/>
  <c r="G23" i="2"/>
</calcChain>
</file>

<file path=xl/comments1.xml><?xml version="1.0" encoding="utf-8"?>
<comments xmlns="http://schemas.openxmlformats.org/spreadsheetml/2006/main">
  <authors>
    <author>Author</author>
  </authors>
  <commentList>
    <comment ref="B3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ديپلم: 0.6، فوق ديپلم: 0.8، کارشناسي: 1، کارشناسي ارشد: 1.5 و دکترا ضريب 2</t>
        </r>
      </text>
    </comment>
    <comment ref="B3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هر 2 سال سابقه کمتر يا بيشتر از 3 سال تا سقف 13 سال 0.1 از ضريب مدرک کم يا زياد ميکند</t>
        </r>
      </text>
    </comment>
    <comment ref="B49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ديپلم: 0.6، فوق ديپلم: 0.8، کارشناسي: 1، کارشناسي ارشد: 1.5 و دکترا ضريب 2</t>
        </r>
      </text>
    </comment>
    <comment ref="B50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هر 2 سال سابقه کمتر يا بيشتر از 3 سال تا سقف 13 سال 0.1 از ضريب مدرک کم يا زياد ميکند</t>
        </r>
      </text>
    </comment>
    <comment ref="B81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ديپلم: 0.6، فوق ديپلم: 0.8، کارشناسي: 1، کارشناسي ارشد: 1.5 و دکترا ضريب 2</t>
        </r>
      </text>
    </comment>
    <comment ref="B82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ديپلم: 0.6، فوق ديپلم: 0.8، کارشناسي: 1، کارشناسي ارشد: 1.5 و دکترا ضريب 2</t>
        </r>
      </text>
    </comment>
    <comment ref="B8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هر 2 سال سابقه کمتر يا بيشتر از 3 سال تا سقف 13 سال 0.1 از ضريب مدرک کم يا زياد ميکند</t>
        </r>
      </text>
    </comment>
  </commentList>
</comments>
</file>

<file path=xl/sharedStrings.xml><?xml version="1.0" encoding="utf-8"?>
<sst xmlns="http://schemas.openxmlformats.org/spreadsheetml/2006/main" count="208" uniqueCount="165">
  <si>
    <t>نرخ ساعت پايه خدمات نرم افزاري</t>
  </si>
  <si>
    <t>کارشناس تضمين کيفيت، طراح آزمون، کارشناس پيکربندي</t>
  </si>
  <si>
    <t>تحليلگر ارشد، کارشناس امنيت نرم افزار</t>
  </si>
  <si>
    <t>مدير پروژه، معمار نرم افزار، مديرمحصول</t>
  </si>
  <si>
    <t>ضريب منطقه جغرافيائي</t>
  </si>
  <si>
    <t>ضريب مدرک تحصيلي با سابقه 3 سال</t>
  </si>
  <si>
    <t>سابقه کار</t>
  </si>
  <si>
    <t>ديپلم: 0.6، فوق ديپلم: 0.8، کارشناسي: 1، کارشناسي ارشد: 1.5 و دکترا ضريب 2</t>
  </si>
  <si>
    <t>سالانه</t>
  </si>
  <si>
    <t>ماهانه</t>
  </si>
  <si>
    <t>روزانه</t>
  </si>
  <si>
    <t>پارامترها</t>
  </si>
  <si>
    <t>مبلغ ثابت</t>
  </si>
  <si>
    <t>خواروبار و مسکن</t>
  </si>
  <si>
    <t>حقوق</t>
  </si>
  <si>
    <t>بن کارگري</t>
  </si>
  <si>
    <t>بیمه سهم کارفرما</t>
  </si>
  <si>
    <t>20% ماهانه</t>
  </si>
  <si>
    <t>3% ماهانه</t>
  </si>
  <si>
    <t>بیمه بیکاري</t>
  </si>
  <si>
    <t>دو دوازدهم</t>
  </si>
  <si>
    <t>عيدي و پاداش</t>
  </si>
  <si>
    <t>سنوات خدمت</t>
  </si>
  <si>
    <t>يک دوازدهم</t>
  </si>
  <si>
    <t>حداقل هزينه پرسنل</t>
  </si>
  <si>
    <t>کسرمرخصي استحقاقي (روز * 7:20)</t>
  </si>
  <si>
    <t>تعداد روز تعطيل درسال (روز * 7:20)</t>
  </si>
  <si>
    <t>جمع ساعت خالص کار در طول سال</t>
  </si>
  <si>
    <t>روز کاري</t>
  </si>
  <si>
    <t>ساعتکار روزانه</t>
  </si>
  <si>
    <t>جمع</t>
  </si>
  <si>
    <t>تهران</t>
  </si>
  <si>
    <t>کلان شهر</t>
  </si>
  <si>
    <t>مرکز استان</t>
  </si>
  <si>
    <t>شهرستان</t>
  </si>
  <si>
    <t>ديپلم</t>
  </si>
  <si>
    <t>فوق ديپلم</t>
  </si>
  <si>
    <t>کارشناسي</t>
  </si>
  <si>
    <t>کارشناسي ارشد</t>
  </si>
  <si>
    <t>دکتري</t>
  </si>
  <si>
    <t>جمع ساعت کار در سال
(365 منهاي 52 جمعه)</t>
  </si>
  <si>
    <t>حقوق روزانه</t>
  </si>
  <si>
    <t>خواربار و مسکن</t>
  </si>
  <si>
    <t>تعداد روز تعطيل در سال</t>
  </si>
  <si>
    <t>محاسباتي :</t>
  </si>
  <si>
    <t>هر 2 سال سابقه کمتر يا بيشتر از 3 سال تا سقف 13 سال 0.1 از ضريب مدرک کم يا زياد ميکند</t>
  </si>
  <si>
    <t>در محل</t>
  </si>
  <si>
    <t>شرکت</t>
  </si>
  <si>
    <t>مشتري</t>
  </si>
  <si>
    <t>کارشناس پشتيباني و نصب</t>
  </si>
  <si>
    <t>کارشناس فرايند، استقرار و راه اندازي</t>
  </si>
  <si>
    <t>کارشناس کنترل پروژه، مستندساز</t>
  </si>
  <si>
    <t>برنامه نويس، تحليلگر، طراح، مدير پايگاه داده، طراح پايگاه داده، آموزش تخصصي</t>
  </si>
  <si>
    <t>آزمون گر، آموزش دهنده عمومي، توليد راهنما، گرافيست</t>
  </si>
  <si>
    <t>ساعات کاري</t>
  </si>
  <si>
    <t>ساعت کاري</t>
  </si>
  <si>
    <t>ساعت اداري</t>
  </si>
  <si>
    <t>خارج از ساعت اداري</t>
  </si>
  <si>
    <r>
      <t xml:space="preserve">رتبه شورا </t>
    </r>
    <r>
      <rPr>
        <b/>
        <sz val="8"/>
        <color theme="1"/>
        <rFont val="Calibri"/>
        <family val="2"/>
      </rPr>
      <t>↓</t>
    </r>
  </si>
  <si>
    <r>
      <t xml:space="preserve">                         ضريب هر شغل </t>
    </r>
    <r>
      <rPr>
        <b/>
        <sz val="9"/>
        <rFont val="Calibri"/>
        <family val="2"/>
      </rPr>
      <t>↑</t>
    </r>
  </si>
  <si>
    <t>پارامترهاي آبي رنگ توسط سازمان نظام صنفي و بصورت سالانه به روز رساني ميشود.</t>
  </si>
  <si>
    <t>تعرفه خدمات نرم افزاری (نفر ساعت - ريال) به ازاي انواع تخصص</t>
  </si>
  <si>
    <t>صرفا پارامترهاي زرد رنگ را جهت تعيين نرخ دستمزد هر نفر ساعت انواع کارشناسان تغيير دهيد</t>
  </si>
  <si>
    <t>حق عائله مندي (ميانگين داراي دو فرزند)</t>
  </si>
  <si>
    <t>معادل 6 روز حقوق</t>
  </si>
  <si>
    <t>هزینه ها (ریال) - صرفا موارد آبي رنگ هر سال به روز رساني شود</t>
  </si>
  <si>
    <t xml:space="preserve">نرخ ساعت پايه خدمات </t>
  </si>
  <si>
    <t>هزينه پايه دستمزد يک ساعت</t>
  </si>
  <si>
    <t>ضريب سربار سود و قرارداد</t>
  </si>
  <si>
    <t>ضریب سربار سود و قرارداد</t>
  </si>
  <si>
    <t>ضريب بالاسری (سربار عملیاتی+ سربار غیر عملیاتی)</t>
  </si>
  <si>
    <t>حداقل سابقه</t>
  </si>
  <si>
    <t>حداقل مدرک</t>
  </si>
  <si>
    <t>تهران: 1.2، کلان شهرها (مشهد، اصفهان، شيراز، تبريز): 1، مراکز استان: 0.75، شهرستان : 0.5</t>
  </si>
  <si>
    <t>تعرفه خدمات مشاوره (نفر ساعت - ريال) به ازاي رتبه مشاور</t>
  </si>
  <si>
    <t>مشاور درجه 3</t>
  </si>
  <si>
    <t>مشاور درجه 2</t>
  </si>
  <si>
    <t>مشاور درجه 1</t>
  </si>
  <si>
    <t>مشاور حقیقی</t>
  </si>
  <si>
    <t>ضریب اتلاف محاسبه غیر تمام وقت (ساعتی)</t>
  </si>
  <si>
    <t>تعرفه خدمات سخت افزاری(نفر ساعت - ريال)</t>
  </si>
  <si>
    <t>تکنیسین فنی، پشتیبانی و نگهداری، نصاب و راه انداز (درجه دو)</t>
  </si>
  <si>
    <t>تکنیسین فنی، پشتیبانی و نگهداری، نصاب و راه انداز (درجه یک)</t>
  </si>
  <si>
    <t>متخصص سخت افزار</t>
  </si>
  <si>
    <t>فروشگاه</t>
  </si>
  <si>
    <t>کارشناس حقیقی</t>
  </si>
  <si>
    <t>تعرفه خدمات آموزش (نفر ساعت - ريال)</t>
  </si>
  <si>
    <t>رده حساسیت</t>
  </si>
  <si>
    <t>ضریب</t>
  </si>
  <si>
    <t>آموزش دروس مقدماتی</t>
  </si>
  <si>
    <t>آموزش دروس پایه</t>
  </si>
  <si>
    <t>آموزش دروس تخصصی</t>
  </si>
  <si>
    <t>آموزش دروس فوق تخصصی</t>
  </si>
  <si>
    <t>ضریب حساسیت خدمات آموزشی</t>
  </si>
  <si>
    <t xml:space="preserve">کارشناس دارای گواهی بین المللی دوره </t>
  </si>
  <si>
    <t>کارشناس دارای گواهی بین المللی دوره  در حوزه مرتبط</t>
  </si>
  <si>
    <t xml:space="preserve">کارشناس دارای گواهی موفقیت در دوره از شرکتهای معتبر آموزشی </t>
  </si>
  <si>
    <t>کارشناس دارای گواهی موفیت در دوره های مرتبط در حوزه از شرکتهای معتبر آموزشی</t>
  </si>
  <si>
    <t>رده کارشناس آموزش دهنده</t>
  </si>
  <si>
    <t>ضریب رده آموزشی</t>
  </si>
  <si>
    <t>کارشناس آموزش دوره مقدماتی</t>
  </si>
  <si>
    <t>کارشناس آموزش دوره پایه</t>
  </si>
  <si>
    <t>کارشناس آموزش دوره تخصصی</t>
  </si>
  <si>
    <t>کارشناس آموزش دوره فوق تخصصی</t>
  </si>
  <si>
    <r>
      <t xml:space="preserve">ضريب هر شغل </t>
    </r>
    <r>
      <rPr>
        <b/>
        <sz val="9"/>
        <rFont val="Calibri"/>
        <family val="2"/>
      </rPr>
      <t>↑</t>
    </r>
  </si>
  <si>
    <t>رده آموزشی</t>
  </si>
  <si>
    <t>پارامترهای محاسباتی</t>
  </si>
  <si>
    <t>نرخ برابری دلار</t>
  </si>
  <si>
    <t>هزینه سالیانه</t>
  </si>
  <si>
    <t>هزینه ماهیانه</t>
  </si>
  <si>
    <t>پلان</t>
  </si>
  <si>
    <t>نرخ پایه نفر ساعتی</t>
  </si>
  <si>
    <t>پلان پایه ویندوز در خارج ایران</t>
  </si>
  <si>
    <t>تعداد دامین قابل میزبانی روی یک وب سرور</t>
  </si>
  <si>
    <t>پلان پایه ویندوز به همراه MSSQL Server خارج ایران</t>
  </si>
  <si>
    <t>تعداد دامین قابل میزبانی روی یک میل سرور</t>
  </si>
  <si>
    <t>پلان پایه ویندوز در داخل ایران</t>
  </si>
  <si>
    <t>تعداد دیتابیس قابل میزبانی روی یک دیتابیس سرور</t>
  </si>
  <si>
    <t>پلان پایه ویندوز به همراه MSSQL Server داخل ایران</t>
  </si>
  <si>
    <t>ضریب شغلی مدیر سرور</t>
  </si>
  <si>
    <t>پلان پایه لینوکس میزبانی خارج ایران</t>
  </si>
  <si>
    <t>ضریب شغلی پشتیبان</t>
  </si>
  <si>
    <t>پلان پایه لینوکس به همراه MySQL میزبانی خارج ایران</t>
  </si>
  <si>
    <t>میزان ساعت مدیریت سرور برای یک سرور در یک ماه</t>
  </si>
  <si>
    <t>پلان پایه لینوکس در داخل ایران</t>
  </si>
  <si>
    <t>میزان ساعت پشتیبانی برای یک وب سایت در سال</t>
  </si>
  <si>
    <t>پلان پایه لینوکس به همراه MySQL داخل ایران</t>
  </si>
  <si>
    <t>ضریب سربار عملیاتی و غیر عملیاتی</t>
  </si>
  <si>
    <t>ضرایب جغرافیایی و رتبه شرکت محاسبه نشده است. مبالغ به ریال می باشد. منظور از پلان پایه کوچکترین پلان ارایه شده توسط شرکت ارایه دهنده خدمات با فضای حداکثر 100 مگابیت و مشخصات ذکر شده در جدول می باشد .</t>
  </si>
  <si>
    <t>ضریب سود و قرارداد</t>
  </si>
  <si>
    <r>
      <t>ضریب جغرافیایی</t>
    </r>
    <r>
      <rPr>
        <sz val="10"/>
        <color theme="1"/>
        <rFont val="B Homa"/>
        <charset val="178"/>
      </rPr>
      <t xml:space="preserve"> (تهران 1.2، کلان شهر ها 1، سایر شهرها 0.75)</t>
    </r>
  </si>
  <si>
    <t xml:space="preserve"> </t>
  </si>
  <si>
    <t>تعرفه خدمات میزبانی وب</t>
  </si>
  <si>
    <t>هزینه های سخت افزاری و نرم افزاری</t>
  </si>
  <si>
    <t>داخل ایران</t>
  </si>
  <si>
    <t>خارج ایران</t>
  </si>
  <si>
    <t>نوع سرویس</t>
  </si>
  <si>
    <t xml:space="preserve">هزینه های اجاره سخت افزار در خارج از ایران به دلار </t>
  </si>
  <si>
    <t>لینوکس پایه به همراه MySQL</t>
  </si>
  <si>
    <t>لینوکس پایه</t>
  </si>
  <si>
    <t>ویندوز پایه به همراه MSSQL</t>
  </si>
  <si>
    <t>ویندوز پایه</t>
  </si>
  <si>
    <t xml:space="preserve">اجاره ماهیانه وب سرور </t>
  </si>
  <si>
    <t>رتبه شورا</t>
  </si>
  <si>
    <t>اجار ماهیانه دیتابیس سرور</t>
  </si>
  <si>
    <t>اجاره  ماهیانه میل سرور</t>
  </si>
  <si>
    <t>هزینه های اجاره لایسنس برای سرورهای خارج از ایران به دلار</t>
  </si>
  <si>
    <t>سیستم عامل ویندوز به ازای هر CPU</t>
  </si>
  <si>
    <t>لایسنس ماهیانه MSSQL Server web به ازای هر CPU</t>
  </si>
  <si>
    <t>لایسنس ماهیانه  SmarterMail</t>
  </si>
  <si>
    <t xml:space="preserve">لایسنس برای سرورهای لینوکس </t>
  </si>
  <si>
    <t>هزینه اجاره سخت افزار در داخل ایران به ریال</t>
  </si>
  <si>
    <t>تعرفه ثبت و تمدید دامین سالانه</t>
  </si>
  <si>
    <t>اجاره ماهیانه دیتابیس سرور</t>
  </si>
  <si>
    <t>دامین مرتبه سوم ir</t>
  </si>
  <si>
    <t>دامین مرتبه دوم ir</t>
  </si>
  <si>
    <t>دامین gtld</t>
  </si>
  <si>
    <t>دامین</t>
  </si>
  <si>
    <t>اجاره ماهیانه میل سرور</t>
  </si>
  <si>
    <t>رتبه</t>
  </si>
  <si>
    <t>هزینه های اجاره لایسنس برای سرورهای داخل ایران به ریال</t>
  </si>
  <si>
    <t>هزینه ثبت و تمدید دامین</t>
  </si>
  <si>
    <t>هزینه دلاری ثبت و تمدید دامین های gtld  به دلار</t>
  </si>
  <si>
    <t>هزینه ثبت و تمدید دامین های مرتبه دوم ir</t>
  </si>
  <si>
    <t>هزینه ثبت و تمدید دامین های مرتبه سوم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</si>
</sst>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B Nazanin"/>
      <charset val="178"/>
    </font>
    <font>
      <b/>
      <sz val="9"/>
      <color theme="1"/>
      <name val="B Nazanin"/>
      <charset val="178"/>
    </font>
    <font>
      <b/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8"/>
      <color theme="1"/>
      <name val="B Nazanin"/>
      <charset val="178"/>
    </font>
    <font>
      <b/>
      <sz val="9"/>
      <name val="B Nazanin"/>
      <charset val="178"/>
    </font>
    <font>
      <b/>
      <sz val="8"/>
      <color theme="1"/>
      <name val="Calibri"/>
      <family val="2"/>
    </font>
    <font>
      <b/>
      <sz val="9"/>
      <name val="Calibri"/>
      <family val="2"/>
    </font>
    <font>
      <sz val="9"/>
      <color indexed="81"/>
      <name val="Tahoma"/>
    </font>
    <font>
      <b/>
      <sz val="9"/>
      <color indexed="81"/>
      <name val="Tahoma"/>
    </font>
    <font>
      <sz val="10"/>
      <color theme="1"/>
      <name val="B Nazanin"/>
      <charset val="178"/>
    </font>
    <font>
      <sz val="11"/>
      <color theme="1"/>
      <name val="B Homa"/>
      <charset val="178"/>
    </font>
    <font>
      <b/>
      <sz val="11"/>
      <color theme="1"/>
      <name val="B Homa"/>
      <charset val="178"/>
    </font>
    <font>
      <sz val="9"/>
      <color theme="1"/>
      <name val="B Homa"/>
      <charset val="178"/>
    </font>
    <font>
      <sz val="10"/>
      <color theme="1"/>
      <name val="B Homa"/>
      <charset val="178"/>
    </font>
    <font>
      <b/>
      <sz val="10"/>
      <color rgb="FFFF0000"/>
      <name val="B Nazanin"/>
      <charset val="178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4B08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538135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medium">
        <color theme="3" tint="0.39994506668294322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4506668294322"/>
      </top>
      <bottom style="medium">
        <color theme="3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3" tint="0.39997558519241921"/>
      </left>
      <right style="thin">
        <color theme="0"/>
      </right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/>
      <top/>
      <bottom/>
      <diagonal/>
    </border>
    <border>
      <left style="medium">
        <color theme="3" tint="0.39997558519241921"/>
      </left>
      <right style="medium">
        <color rgb="FF538DD5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rgb="FF538DD5"/>
      </left>
      <right style="thin">
        <color theme="0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rgb="FF538DD5"/>
      </left>
      <right style="thin">
        <color theme="0"/>
      </right>
      <top style="medium">
        <color theme="3" tint="0.39997558519241921"/>
      </top>
      <bottom style="medium">
        <color rgb="FF538DD5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medium">
        <color rgb="FF538DD5"/>
      </bottom>
      <diagonal/>
    </border>
    <border>
      <left style="medium">
        <color theme="3" tint="0.39997558519241921"/>
      </left>
      <right style="medium">
        <color rgb="FF538DD5"/>
      </right>
      <top style="medium">
        <color theme="3" tint="0.39997558519241921"/>
      </top>
      <bottom style="medium">
        <color rgb="FF538DD5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3" fontId="3" fillId="0" borderId="1" xfId="0" applyNumberFormat="1" applyFont="1" applyFill="1" applyBorder="1" applyAlignment="1">
      <alignment horizontal="center" wrapText="1" readingOrder="2"/>
    </xf>
    <xf numFmtId="0" fontId="3" fillId="0" borderId="6" xfId="0" applyFont="1" applyFill="1" applyBorder="1" applyAlignment="1">
      <alignment horizontal="center" wrapText="1" readingOrder="2"/>
    </xf>
    <xf numFmtId="0" fontId="2" fillId="0" borderId="8" xfId="0" applyFont="1" applyBorder="1" applyAlignment="1">
      <alignment horizontal="center" vertical="center" wrapText="1" readingOrder="2"/>
    </xf>
    <xf numFmtId="0" fontId="2" fillId="0" borderId="9" xfId="0" applyFont="1" applyBorder="1" applyAlignment="1">
      <alignment horizontal="center" vertical="center" wrapText="1" readingOrder="2"/>
    </xf>
    <xf numFmtId="0" fontId="3" fillId="0" borderId="10" xfId="0" applyFont="1" applyFill="1" applyBorder="1" applyAlignment="1">
      <alignment horizontal="center" wrapText="1" readingOrder="2"/>
    </xf>
    <xf numFmtId="3" fontId="2" fillId="2" borderId="2" xfId="0" applyNumberFormat="1" applyFont="1" applyFill="1" applyBorder="1" applyAlignment="1">
      <alignment horizontal="right" vertical="center" readingOrder="2"/>
    </xf>
    <xf numFmtId="0" fontId="2" fillId="2" borderId="2" xfId="0" applyFont="1" applyFill="1" applyBorder="1" applyAlignment="1">
      <alignment horizontal="right" vertical="center" readingOrder="2"/>
    </xf>
    <xf numFmtId="0" fontId="2" fillId="0" borderId="0" xfId="0" applyFont="1" applyFill="1" applyBorder="1" applyAlignment="1">
      <alignment horizontal="right" vertical="center" readingOrder="2"/>
    </xf>
    <xf numFmtId="3" fontId="2" fillId="0" borderId="0" xfId="0" applyNumberFormat="1" applyFont="1" applyFill="1" applyBorder="1" applyAlignment="1">
      <alignment horizontal="right" vertical="center" readingOrder="2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3" fontId="4" fillId="2" borderId="2" xfId="0" applyNumberFormat="1" applyFont="1" applyFill="1" applyBorder="1"/>
    <xf numFmtId="3" fontId="2" fillId="2" borderId="2" xfId="0" applyNumberFormat="1" applyFont="1" applyFill="1" applyBorder="1" applyAlignment="1">
      <alignment horizontal="center" vertical="center" wrapText="1" readingOrder="2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right" vertical="center" wrapText="1" readingOrder="2"/>
    </xf>
    <xf numFmtId="0" fontId="4" fillId="2" borderId="2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/>
    </xf>
    <xf numFmtId="0" fontId="2" fillId="4" borderId="2" xfId="0" applyFont="1" applyFill="1" applyBorder="1" applyAlignment="1">
      <alignment horizontal="right" vertical="center" readingOrder="2"/>
    </xf>
    <xf numFmtId="9" fontId="4" fillId="2" borderId="2" xfId="0" applyNumberFormat="1" applyFont="1" applyFill="1" applyBorder="1"/>
    <xf numFmtId="4" fontId="4" fillId="2" borderId="2" xfId="0" applyNumberFormat="1" applyFont="1" applyFill="1" applyBorder="1"/>
    <xf numFmtId="0" fontId="5" fillId="2" borderId="12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7" xfId="0" applyFont="1" applyFill="1" applyBorder="1" applyAlignment="1">
      <alignment horizontal="center" vertical="center" wrapText="1" readingOrder="2"/>
    </xf>
    <xf numFmtId="0" fontId="6" fillId="2" borderId="11" xfId="0" applyFont="1" applyFill="1" applyBorder="1" applyAlignment="1">
      <alignment horizontal="center" vertical="center" textRotation="90" wrapText="1" readingOrder="2"/>
    </xf>
    <xf numFmtId="3" fontId="2" fillId="5" borderId="2" xfId="0" applyNumberFormat="1" applyFont="1" applyFill="1" applyBorder="1" applyAlignment="1">
      <alignment horizontal="center" vertical="center" wrapText="1" readingOrder="2"/>
    </xf>
    <xf numFmtId="9" fontId="2" fillId="5" borderId="2" xfId="0" applyNumberFormat="1" applyFont="1" applyFill="1" applyBorder="1" applyAlignment="1">
      <alignment horizontal="center" vertical="center" wrapText="1" readingOrder="2"/>
    </xf>
    <xf numFmtId="4" fontId="2" fillId="5" borderId="2" xfId="0" applyNumberFormat="1" applyFont="1" applyFill="1" applyBorder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 wrapText="1" readingOrder="2"/>
    </xf>
    <xf numFmtId="0" fontId="6" fillId="2" borderId="2" xfId="0" applyFont="1" applyFill="1" applyBorder="1" applyAlignment="1">
      <alignment horizontal="center" vertical="center" wrapText="1" readingOrder="2"/>
    </xf>
    <xf numFmtId="0" fontId="2" fillId="2" borderId="13" xfId="0" applyFont="1" applyFill="1" applyBorder="1" applyAlignment="1">
      <alignment horizontal="right" vertical="center" readingOrder="2"/>
    </xf>
    <xf numFmtId="0" fontId="2" fillId="0" borderId="14" xfId="0" applyFont="1" applyFill="1" applyBorder="1" applyAlignment="1">
      <alignment horizontal="right" vertical="center" readingOrder="2"/>
    </xf>
    <xf numFmtId="3" fontId="2" fillId="2" borderId="13" xfId="0" applyNumberFormat="1" applyFont="1" applyFill="1" applyBorder="1" applyAlignment="1">
      <alignment horizontal="center" vertical="center" readingOrder="2"/>
    </xf>
    <xf numFmtId="3" fontId="2" fillId="0" borderId="14" xfId="0" applyNumberFormat="1" applyFont="1" applyFill="1" applyBorder="1" applyAlignment="1">
      <alignment horizontal="right" vertical="center" readingOrder="2"/>
    </xf>
    <xf numFmtId="0" fontId="3" fillId="7" borderId="15" xfId="0" applyFont="1" applyFill="1" applyBorder="1" applyAlignment="1">
      <alignment horizontal="center" wrapText="1" readingOrder="2"/>
    </xf>
    <xf numFmtId="0" fontId="2" fillId="3" borderId="2" xfId="0" applyFont="1" applyFill="1" applyBorder="1" applyAlignment="1">
      <alignment horizontal="center" vertical="center" readingOrder="2"/>
    </xf>
    <xf numFmtId="0" fontId="3" fillId="8" borderId="2" xfId="0" applyFont="1" applyFill="1" applyBorder="1" applyAlignment="1">
      <alignment horizontal="center" vertical="center" wrapText="1" readingOrder="2"/>
    </xf>
    <xf numFmtId="0" fontId="3" fillId="11" borderId="2" xfId="0" applyFont="1" applyFill="1" applyBorder="1" applyAlignment="1">
      <alignment horizontal="center" vertical="center" wrapText="1" readingOrder="2"/>
    </xf>
    <xf numFmtId="3" fontId="3" fillId="7" borderId="1" xfId="0" applyNumberFormat="1" applyFont="1" applyFill="1" applyBorder="1" applyAlignment="1">
      <alignment horizontal="center" wrapText="1" readingOrder="2"/>
    </xf>
    <xf numFmtId="0" fontId="11" fillId="0" borderId="2" xfId="0" applyFont="1" applyBorder="1" applyAlignment="1">
      <alignment vertical="center" wrapText="1" readingOrder="2"/>
    </xf>
    <xf numFmtId="0" fontId="11" fillId="10" borderId="2" xfId="0" applyFont="1" applyFill="1" applyBorder="1" applyAlignment="1">
      <alignment vertical="center" wrapText="1" readingOrder="2"/>
    </xf>
    <xf numFmtId="0" fontId="3" fillId="11" borderId="2" xfId="0" applyFont="1" applyFill="1" applyBorder="1" applyAlignment="1">
      <alignment vertical="center" wrapText="1" readingOrder="2"/>
    </xf>
    <xf numFmtId="0" fontId="11" fillId="0" borderId="0" xfId="0" applyFont="1" applyFill="1" applyBorder="1" applyAlignment="1">
      <alignment vertical="center" wrapText="1" readingOrder="2"/>
    </xf>
    <xf numFmtId="0" fontId="3" fillId="0" borderId="0" xfId="0" applyFont="1" applyFill="1" applyBorder="1" applyAlignment="1">
      <alignment vertical="center" wrapText="1" readingOrder="2"/>
    </xf>
    <xf numFmtId="3" fontId="3" fillId="7" borderId="18" xfId="0" applyNumberFormat="1" applyFont="1" applyFill="1" applyBorder="1" applyAlignment="1">
      <alignment horizontal="center" wrapText="1" readingOrder="2"/>
    </xf>
    <xf numFmtId="0" fontId="3" fillId="7" borderId="19" xfId="0" applyFont="1" applyFill="1" applyBorder="1" applyAlignment="1">
      <alignment horizontal="center" wrapText="1" readingOrder="2"/>
    </xf>
    <xf numFmtId="0" fontId="3" fillId="12" borderId="20" xfId="0" applyFont="1" applyFill="1" applyBorder="1" applyAlignment="1">
      <alignment horizontal="center" wrapText="1" readingOrder="2"/>
    </xf>
    <xf numFmtId="3" fontId="3" fillId="12" borderId="21" xfId="0" applyNumberFormat="1" applyFont="1" applyFill="1" applyBorder="1" applyAlignment="1">
      <alignment horizontal="center" wrapText="1" readingOrder="2"/>
    </xf>
    <xf numFmtId="3" fontId="3" fillId="12" borderId="22" xfId="0" applyNumberFormat="1" applyFont="1" applyFill="1" applyBorder="1" applyAlignment="1">
      <alignment horizontal="center" wrapText="1" readingOrder="2"/>
    </xf>
    <xf numFmtId="0" fontId="2" fillId="4" borderId="2" xfId="0" applyFont="1" applyFill="1" applyBorder="1" applyAlignment="1">
      <alignment horizontal="right" vertical="center" wrapText="1" readingOrder="2"/>
    </xf>
    <xf numFmtId="0" fontId="12" fillId="0" borderId="0" xfId="0" applyFont="1"/>
    <xf numFmtId="0" fontId="12" fillId="14" borderId="2" xfId="0" applyFont="1" applyFill="1" applyBorder="1" applyProtection="1">
      <protection locked="0"/>
    </xf>
    <xf numFmtId="0" fontId="12" fillId="13" borderId="2" xfId="0" applyFont="1" applyFill="1" applyBorder="1"/>
    <xf numFmtId="0" fontId="13" fillId="15" borderId="2" xfId="0" applyFont="1" applyFill="1" applyBorder="1"/>
    <xf numFmtId="3" fontId="12" fillId="16" borderId="2" xfId="0" applyNumberFormat="1" applyFont="1" applyFill="1" applyBorder="1"/>
    <xf numFmtId="0" fontId="12" fillId="17" borderId="2" xfId="0" applyFont="1" applyFill="1" applyBorder="1"/>
    <xf numFmtId="0" fontId="12" fillId="4" borderId="2" xfId="0" applyFont="1" applyFill="1" applyBorder="1" applyProtection="1">
      <protection locked="0"/>
    </xf>
    <xf numFmtId="0" fontId="12" fillId="19" borderId="2" xfId="0" applyFont="1" applyFill="1" applyBorder="1"/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15" borderId="2" xfId="0" applyFont="1" applyFill="1" applyBorder="1" applyAlignment="1">
      <alignment horizontal="center"/>
    </xf>
    <xf numFmtId="41" fontId="12" fillId="21" borderId="2" xfId="0" applyNumberFormat="1" applyFont="1" applyFill="1" applyBorder="1"/>
    <xf numFmtId="0" fontId="12" fillId="22" borderId="2" xfId="0" applyFont="1" applyFill="1" applyBorder="1" applyAlignment="1">
      <alignment horizontal="center"/>
    </xf>
    <xf numFmtId="3" fontId="12" fillId="13" borderId="2" xfId="0" applyNumberFormat="1" applyFont="1" applyFill="1" applyBorder="1"/>
    <xf numFmtId="41" fontId="12" fillId="23" borderId="2" xfId="0" applyNumberFormat="1" applyFont="1" applyFill="1" applyBorder="1"/>
    <xf numFmtId="0" fontId="16" fillId="0" borderId="2" xfId="0" applyFont="1" applyBorder="1" applyAlignment="1">
      <alignment horizontal="center" vertical="center" wrapText="1" readingOrder="2"/>
    </xf>
    <xf numFmtId="0" fontId="16" fillId="10" borderId="2" xfId="0" applyFont="1" applyFill="1" applyBorder="1" applyAlignment="1">
      <alignment horizontal="center" vertical="center" wrapText="1" readingOrder="2"/>
    </xf>
    <xf numFmtId="0" fontId="16" fillId="9" borderId="2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readingOrder="2"/>
    </xf>
    <xf numFmtId="0" fontId="2" fillId="2" borderId="4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0" fontId="1" fillId="6" borderId="17" xfId="0" applyFont="1" applyFill="1" applyBorder="1" applyAlignment="1">
      <alignment horizontal="center" vertical="top" wrapText="1" readingOrder="2"/>
    </xf>
    <xf numFmtId="0" fontId="1" fillId="6" borderId="0" xfId="0" applyFont="1" applyFill="1" applyBorder="1" applyAlignment="1">
      <alignment horizontal="center" vertical="top" wrapText="1" readingOrder="2"/>
    </xf>
    <xf numFmtId="0" fontId="11" fillId="0" borderId="2" xfId="0" applyFont="1" applyBorder="1" applyAlignment="1">
      <alignment horizontal="center" vertical="center" wrapText="1" readingOrder="2"/>
    </xf>
    <xf numFmtId="0" fontId="3" fillId="8" borderId="2" xfId="0" applyFont="1" applyFill="1" applyBorder="1" applyAlignment="1">
      <alignment horizontal="center" vertical="center" wrapText="1" readingOrder="2"/>
    </xf>
    <xf numFmtId="0" fontId="11" fillId="9" borderId="2" xfId="0" applyFont="1" applyFill="1" applyBorder="1" applyAlignment="1">
      <alignment horizontal="center" vertical="center" wrapText="1" readingOrder="2"/>
    </xf>
    <xf numFmtId="0" fontId="4" fillId="5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readingOrder="2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4" xfId="0" applyFont="1" applyFill="1" applyBorder="1" applyAlignment="1">
      <alignment horizontal="center" vertical="center" wrapText="1" readingOrder="2"/>
    </xf>
    <xf numFmtId="0" fontId="2" fillId="2" borderId="5" xfId="0" applyFont="1" applyFill="1" applyBorder="1" applyAlignment="1">
      <alignment horizontal="center" vertical="center" wrapText="1" readingOrder="2"/>
    </xf>
    <xf numFmtId="0" fontId="1" fillId="6" borderId="1" xfId="0" applyFont="1" applyFill="1" applyBorder="1" applyAlignment="1">
      <alignment horizontal="center" vertical="top" wrapText="1" readingOrder="2"/>
    </xf>
    <xf numFmtId="0" fontId="1" fillId="6" borderId="6" xfId="0" applyFont="1" applyFill="1" applyBorder="1" applyAlignment="1">
      <alignment horizontal="center" vertical="top" wrapText="1" readingOrder="2"/>
    </xf>
    <xf numFmtId="0" fontId="1" fillId="6" borderId="16" xfId="0" applyFont="1" applyFill="1" applyBorder="1" applyAlignment="1">
      <alignment horizontal="center" vertical="top" wrapText="1" readingOrder="2"/>
    </xf>
    <xf numFmtId="0" fontId="1" fillId="6" borderId="7" xfId="0" applyFont="1" applyFill="1" applyBorder="1" applyAlignment="1">
      <alignment horizontal="center" vertical="top" wrapText="1" readingOrder="2"/>
    </xf>
    <xf numFmtId="0" fontId="12" fillId="20" borderId="2" xfId="0" applyFont="1" applyFill="1" applyBorder="1" applyAlignment="1">
      <alignment horizontal="center"/>
    </xf>
    <xf numFmtId="0" fontId="12" fillId="15" borderId="28" xfId="0" applyFont="1" applyFill="1" applyBorder="1" applyAlignment="1">
      <alignment horizontal="center" vertical="top" wrapText="1"/>
    </xf>
    <xf numFmtId="0" fontId="12" fillId="15" borderId="13" xfId="0" applyFont="1" applyFill="1" applyBorder="1" applyAlignment="1">
      <alignment horizontal="center" vertical="top" wrapText="1"/>
    </xf>
    <xf numFmtId="0" fontId="12" fillId="15" borderId="28" xfId="0" applyFont="1" applyFill="1" applyBorder="1" applyAlignment="1">
      <alignment horizontal="center" vertical="top"/>
    </xf>
    <xf numFmtId="0" fontId="12" fillId="15" borderId="13" xfId="0" applyFont="1" applyFill="1" applyBorder="1" applyAlignment="1">
      <alignment horizontal="center" vertical="top"/>
    </xf>
    <xf numFmtId="0" fontId="12" fillId="20" borderId="3" xfId="0" applyFont="1" applyFill="1" applyBorder="1" applyAlignment="1"/>
    <xf numFmtId="0" fontId="12" fillId="20" borderId="5" xfId="0" applyFont="1" applyFill="1" applyBorder="1" applyAlignment="1"/>
    <xf numFmtId="0" fontId="12" fillId="20" borderId="3" xfId="0" applyFont="1" applyFill="1" applyBorder="1" applyAlignment="1">
      <alignment horizontal="right"/>
    </xf>
    <xf numFmtId="0" fontId="12" fillId="20" borderId="5" xfId="0" applyFont="1" applyFill="1" applyBorder="1" applyAlignment="1">
      <alignment horizontal="right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12" fillId="14" borderId="5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2" fillId="13" borderId="5" xfId="0" applyFont="1" applyFill="1" applyBorder="1" applyAlignment="1">
      <alignment horizontal="center"/>
    </xf>
    <xf numFmtId="0" fontId="12" fillId="15" borderId="3" xfId="0" applyFont="1" applyFill="1" applyBorder="1" applyAlignment="1">
      <alignment horizontal="center"/>
    </xf>
    <xf numFmtId="0" fontId="12" fillId="15" borderId="4" xfId="0" applyFont="1" applyFill="1" applyBorder="1" applyAlignment="1">
      <alignment horizontal="center"/>
    </xf>
    <xf numFmtId="0" fontId="12" fillId="15" borderId="5" xfId="0" applyFont="1" applyFill="1" applyBorder="1" applyAlignment="1">
      <alignment horizontal="center"/>
    </xf>
    <xf numFmtId="0" fontId="12" fillId="15" borderId="28" xfId="0" applyFont="1" applyFill="1" applyBorder="1" applyAlignment="1">
      <alignment horizontal="center" vertical="center"/>
    </xf>
    <xf numFmtId="0" fontId="12" fillId="15" borderId="13" xfId="0" applyFont="1" applyFill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13" borderId="2" xfId="0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3" fillId="15" borderId="3" xfId="0" applyFont="1" applyFill="1" applyBorder="1" applyAlignment="1">
      <alignment horizontal="center"/>
    </xf>
    <xf numFmtId="0" fontId="13" fillId="15" borderId="4" xfId="0" applyFont="1" applyFill="1" applyBorder="1" applyAlignment="1">
      <alignment horizontal="center"/>
    </xf>
    <xf numFmtId="0" fontId="13" fillId="15" borderId="5" xfId="0" applyFont="1" applyFill="1" applyBorder="1" applyAlignment="1">
      <alignment horizontal="center"/>
    </xf>
    <xf numFmtId="0" fontId="12" fillId="16" borderId="3" xfId="0" applyFont="1" applyFill="1" applyBorder="1" applyAlignment="1">
      <alignment horizontal="right"/>
    </xf>
    <xf numFmtId="0" fontId="12" fillId="16" borderId="4" xfId="0" applyFont="1" applyFill="1" applyBorder="1" applyAlignment="1">
      <alignment horizontal="right"/>
    </xf>
    <xf numFmtId="0" fontId="12" fillId="16" borderId="5" xfId="0" applyFont="1" applyFill="1" applyBorder="1" applyAlignment="1">
      <alignment horizontal="right"/>
    </xf>
    <xf numFmtId="0" fontId="14" fillId="18" borderId="23" xfId="0" applyFont="1" applyFill="1" applyBorder="1" applyAlignment="1">
      <alignment horizontal="center" wrapText="1"/>
    </xf>
    <xf numFmtId="0" fontId="12" fillId="18" borderId="24" xfId="0" applyFont="1" applyFill="1" applyBorder="1" applyAlignment="1">
      <alignment horizontal="center" wrapText="1"/>
    </xf>
    <xf numFmtId="0" fontId="12" fillId="18" borderId="25" xfId="0" applyFont="1" applyFill="1" applyBorder="1" applyAlignment="1">
      <alignment horizontal="center" wrapText="1"/>
    </xf>
    <xf numFmtId="0" fontId="12" fillId="18" borderId="26" xfId="0" applyFont="1" applyFill="1" applyBorder="1" applyAlignment="1">
      <alignment horizontal="center" wrapText="1"/>
    </xf>
    <xf numFmtId="0" fontId="12" fillId="18" borderId="14" xfId="0" applyFont="1" applyFill="1" applyBorder="1" applyAlignment="1">
      <alignment horizontal="center" wrapText="1"/>
    </xf>
    <xf numFmtId="0" fontId="12" fillId="18" borderId="27" xfId="0" applyFont="1" applyFill="1" applyBorder="1" applyAlignment="1">
      <alignment horizontal="center" wrapText="1"/>
    </xf>
  </cellXfs>
  <cellStyles count="1">
    <cellStyle name="Normal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B Nazanin"/>
        <scheme val="none"/>
      </font>
      <numFmt numFmtId="3" formatCode="#,##0"/>
      <fill>
        <patternFill patternType="none">
          <fgColor rgb="FF000000"/>
          <bgColor rgb="FFFFFFFF"/>
        </patternFill>
      </fill>
      <alignment horizontal="center" vertical="bottom" textRotation="0" wrapText="1" relativeIndent="0" justifyLastLine="0" shrinkToFit="0" readingOrder="2"/>
      <border diagonalUp="0" diagonalDown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/>
        <top style="medium">
          <color theme="3" tint="0.39997558519241921"/>
        </top>
        <bottom style="medium">
          <color theme="3" tint="0.39997558519241921"/>
        </bottom>
      </border>
    </dxf>
    <dxf>
      <border outline="0">
        <left style="medium">
          <color rgb="FF538DD5"/>
        </left>
        <right style="medium">
          <color rgb="FF538DD5"/>
        </right>
        <top style="medium">
          <color rgb="FF538DD5"/>
        </top>
        <bottom style="medium">
          <color rgb="FF538D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B Nazanin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1" relative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 Nazanin"/>
        <scheme val="none"/>
      </font>
      <alignment horizontal="center" vertical="center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/>
        <top style="medium">
          <color theme="3" tint="0.39997558519241921"/>
        </top>
        <bottom style="medium">
          <color theme="3" tint="0.39997558519241921"/>
        </bottom>
      </border>
    </dxf>
    <dxf>
      <border outline="0">
        <left style="medium">
          <color rgb="FF538DD5"/>
        </left>
        <right style="medium">
          <color rgb="FF538DD5"/>
        </right>
        <top style="medium">
          <color rgb="FF538DD5"/>
        </top>
        <bottom style="medium">
          <color rgb="FF538D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B Nazanin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1" relative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 Nazanin"/>
        <scheme val="none"/>
      </font>
      <alignment horizontal="center" vertical="center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/>
        <top style="medium">
          <color theme="3" tint="0.39997558519241921"/>
        </top>
        <bottom style="medium">
          <color theme="3" tint="0.39997558519241921"/>
        </bottom>
      </border>
    </dxf>
    <dxf>
      <border outline="0">
        <left style="medium">
          <color rgb="FF538DD5"/>
        </left>
        <right style="medium">
          <color rgb="FF538DD5"/>
        </right>
        <top style="medium">
          <color rgb="FF538DD5"/>
        </top>
        <bottom style="medium">
          <color rgb="FF538D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B Nazanin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1" relative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 Nazanin"/>
        <scheme val="none"/>
      </font>
      <alignment horizontal="center" vertical="center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/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/>
        <top style="medium">
          <color theme="3" tint="0.39997558519241921"/>
        </top>
        <bottom style="medium">
          <color theme="3" tint="0.39997558519241921"/>
        </bottom>
      </border>
    </dxf>
    <dxf>
      <border outline="0">
        <left style="medium">
          <color rgb="FF538DD5"/>
        </left>
        <right style="medium">
          <color rgb="FF538DD5"/>
        </right>
        <top style="medium">
          <color rgb="FF538DD5"/>
        </top>
        <bottom style="medium">
          <color rgb="FF538D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B Nazanin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1" relative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 Nazanin"/>
        <scheme val="none"/>
      </font>
      <alignment horizontal="center" vertical="center" textRotation="0" wrapText="1" relativeIndent="0" justifyLastLine="0" shrinkToFit="0" readingOrder="2"/>
      <border diagonalUp="0" diagonalDown="0" outline="0">
        <left style="medium">
          <color theme="3" tint="0.39997558519241921"/>
        </left>
        <right style="medium">
          <color theme="3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2" displayName="Table22" ref="B19:J27" totalsRowShown="0" headerRowDxfId="33" dataDxfId="32" tableBorderDxfId="31">
  <tableColumns count="9">
    <tableColumn id="1" name="                         ضريب هر شغل ↑" dataDxfId="30"/>
    <tableColumn id="2" name="کارشناس پشتيباني و نصب" dataDxfId="29">
      <calculatedColumnFormula>ROUND(($F$10*$F$11*C$20*$E$14*(1+1/(1+$B20))*$F$12)/1000,0)*1000</calculatedColumnFormula>
    </tableColumn>
    <tableColumn id="3" name="کارشناس کنترل پروژه، مستندساز" dataDxfId="28">
      <calculatedColumnFormula>ROUND(($F$10*$F$11*D$20*$E$14*(1+1/(1+$B20))*$F$12)/1000,0)*1000</calculatedColumnFormula>
    </tableColumn>
    <tableColumn id="4" name="آزمون گر، آموزش دهنده عمومي، توليد راهنما، گرافيست" dataDxfId="27">
      <calculatedColumnFormula>ROUND(($F$10*$F$11*E$20*$E$14*(1+1/(1+$B20))*$F$12)/1000,0)*1000</calculatedColumnFormula>
    </tableColumn>
    <tableColumn id="5" name="کارشناس تضمين کيفيت، طراح آزمون، کارشناس پيکربندي" dataDxfId="26">
      <calculatedColumnFormula>ROUND(($F$10*$F$11*F$20*$E$14*(1+1/(1+$B20))*$F$12)/1000,0)*1000</calculatedColumnFormula>
    </tableColumn>
    <tableColumn id="6" name="کارشناس فرايند، استقرار و راه اندازي" dataDxfId="25">
      <calculatedColumnFormula>ROUND(($F$10*$F$11*G$20*$E$14*(1+1/(1+$B20))*$F$12)/1000,0)*1000</calculatedColumnFormula>
    </tableColumn>
    <tableColumn id="7" name="برنامه نويس، تحليلگر، طراح، مدير پايگاه داده، طراح پايگاه داده، آموزش تخصصي" dataDxfId="24">
      <calculatedColumnFormula>ROUND(($F$10*$F$11*H$20*$E$14*(1+1/(1+$B20))*$F$12)/1000,0)*1000</calculatedColumnFormula>
    </tableColumn>
    <tableColumn id="8" name="تحليلگر ارشد، کارشناس امنيت نرم افزار" dataDxfId="23">
      <calculatedColumnFormula>ROUND(($F$10*$F$11*I$20*$E$14*(1+1/(1+$B20))*$F$12)/1000,0)*1000</calculatedColumnFormula>
    </tableColumn>
    <tableColumn id="9" name="مدير پروژه، معمار نرم افزار، مديرمحصول" dataDxfId="22">
      <calculatedColumnFormula>ROUND(($F$10*$F$11*J$20*$E$14*(1+1/(1+$B20))*$F$12)/1000,0)*1000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3" name="Table264" displayName="Table264" ref="B33:E43" totalsRowShown="0" headerRowDxfId="21" dataDxfId="20" tableBorderDxfId="19">
  <tableColumns count="4">
    <tableColumn id="1" name="                         ضريب هر شغل ↑" dataDxfId="18"/>
    <tableColumn id="2" name="مشاور درجه 3" dataDxfId="17">
      <calculatedColumnFormula>ROUND(($F$10*$F$11*C$20*$E$14*(1+1/(1+$B34))*$F$12)/1000,0)*1000</calculatedColumnFormula>
    </tableColumn>
    <tableColumn id="3" name="مشاور درجه 2" dataDxfId="16">
      <calculatedColumnFormula>ROUND(($F$10*$F$11*D$20*$E$14*(1+1/(1+$B34))*$F$12)/1000,0)*1000</calculatedColumnFormula>
    </tableColumn>
    <tableColumn id="4" name="مشاور درجه 1" dataDxfId="15">
      <calculatedColumnFormula>ROUND(($F$10*$F$11*E$20*$E$14*(1+1/(1+$B34))*$F$12)/1000,0)*1000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4" name="Table2645" displayName="Table2645" ref="B48:E60" totalsRowShown="0" headerRowDxfId="14" dataDxfId="13" tableBorderDxfId="12">
  <tableColumns count="4">
    <tableColumn id="1" name="                         ضريب هر شغل ↑" dataDxfId="11"/>
    <tableColumn id="2" name="تکنیسین فنی، پشتیبانی و نگهداری، نصاب و راه انداز (درجه دو)" dataDxfId="10">
      <calculatedColumnFormula>ROUND(($F$10*$F$11*C$20*$E$14*(1+1/(1+$B49))*$F$12)/1000,0)*1000</calculatedColumnFormula>
    </tableColumn>
    <tableColumn id="3" name="تکنیسین فنی، پشتیبانی و نگهداری، نصاب و راه انداز (درجه یک)" dataDxfId="9">
      <calculatedColumnFormula>ROUND(($F$10*$F$11*D$20*$E$14*(1+1/(1+$B49))*$F$12)/1000,0)*1000</calculatedColumnFormula>
    </tableColumn>
    <tableColumn id="4" name="متخصص سخت افزار" dataDxfId="8">
      <calculatedColumnFormula>ROUND(($F$10*$F$11*E$20*$E$14*(1+1/(1+$B49))*$F$12)/1000,0)*1000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6" name="Table26457" displayName="Table26457" ref="B80:F89" totalsRowShown="0" headerRowDxfId="7" dataDxfId="6" tableBorderDxfId="5">
  <tableColumns count="5">
    <tableColumn id="1" name="ضريب هر شغل ↑" dataDxfId="4"/>
    <tableColumn id="2" name="کارشناس آموزش دوره مقدماتی" dataDxfId="3">
      <calculatedColumnFormula>ROUND(($F$10*$F$11*C$20*$E$14*(1+1/(1+$B81))*$F$12)/1000,0)*1000</calculatedColumnFormula>
    </tableColumn>
    <tableColumn id="3" name="کارشناس آموزش دوره پایه" dataDxfId="2">
      <calculatedColumnFormula>ROUND(($F$10*$F$11*D$20*$E$14*(1+1/(1+$B81))*$F$12)/1000,0)*1000</calculatedColumnFormula>
    </tableColumn>
    <tableColumn id="4" name="کارشناس آموزش دوره تخصصی" dataDxfId="1">
      <calculatedColumnFormula>ROUND(($F$10*$F$11*E$20*$E$14*(1+1/(1+$B81))*$F$12)/1000,0)*1000</calculatedColumnFormula>
    </tableColumn>
    <tableColumn id="5" name="کارشناس آموزش دوره فوق تخصصی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91"/>
  <sheetViews>
    <sheetView rightToLeft="1" tabSelected="1" topLeftCell="A84" zoomScaleNormal="100" workbookViewId="0">
      <selection activeCell="C101" sqref="C101"/>
    </sheetView>
  </sheetViews>
  <sheetFormatPr defaultRowHeight="15" x14ac:dyDescent="0.25"/>
  <cols>
    <col min="1" max="1" width="2.42578125" customWidth="1"/>
    <col min="2" max="2" width="13.140625" customWidth="1"/>
    <col min="3" max="12" width="10.7109375" customWidth="1"/>
    <col min="14" max="14" width="23.28515625" bestFit="1" customWidth="1"/>
    <col min="15" max="15" width="15" customWidth="1"/>
    <col min="17" max="17" width="13.85546875" customWidth="1"/>
    <col min="22" max="22" width="11.5703125" bestFit="1" customWidth="1"/>
  </cols>
  <sheetData>
    <row r="2" spans="2:23" ht="18" x14ac:dyDescent="0.45">
      <c r="B2" s="78" t="s">
        <v>60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2:23" ht="18" x14ac:dyDescent="0.45">
      <c r="B3" s="79" t="s">
        <v>62</v>
      </c>
      <c r="C3" s="79"/>
      <c r="D3" s="79"/>
      <c r="E3" s="79"/>
      <c r="F3" s="79"/>
      <c r="G3" s="79"/>
      <c r="H3" s="79"/>
      <c r="I3" s="79"/>
      <c r="J3" s="79"/>
      <c r="K3" s="79"/>
      <c r="L3" s="79"/>
    </row>
    <row r="4" spans="2:23" x14ac:dyDescent="0.25">
      <c r="B4" s="69" t="s">
        <v>41</v>
      </c>
      <c r="C4" s="70"/>
      <c r="D4" s="71"/>
      <c r="E4" s="7"/>
      <c r="F4" s="25">
        <v>202970</v>
      </c>
      <c r="G4" s="72"/>
      <c r="H4" s="72"/>
      <c r="I4" s="72"/>
      <c r="J4" s="72"/>
      <c r="K4" s="72"/>
      <c r="L4" s="72"/>
      <c r="N4" s="80" t="s">
        <v>65</v>
      </c>
      <c r="O4" s="80"/>
      <c r="P4" s="80"/>
      <c r="Q4" s="80"/>
    </row>
    <row r="5" spans="2:23" x14ac:dyDescent="0.25">
      <c r="B5" s="69" t="s">
        <v>42</v>
      </c>
      <c r="C5" s="70"/>
      <c r="D5" s="71"/>
      <c r="E5" s="7" t="s">
        <v>12</v>
      </c>
      <c r="F5" s="25">
        <v>200800</v>
      </c>
      <c r="G5" s="72"/>
      <c r="H5" s="72"/>
      <c r="I5" s="72"/>
      <c r="J5" s="72"/>
      <c r="K5" s="72"/>
      <c r="L5" s="72"/>
      <c r="N5" s="35" t="s">
        <v>11</v>
      </c>
      <c r="O5" s="35" t="s">
        <v>10</v>
      </c>
      <c r="P5" s="35" t="s">
        <v>9</v>
      </c>
      <c r="Q5" s="35" t="s">
        <v>8</v>
      </c>
      <c r="S5" s="7" t="s">
        <v>31</v>
      </c>
      <c r="T5" s="7">
        <v>1.2</v>
      </c>
      <c r="V5" s="7" t="s">
        <v>46</v>
      </c>
    </row>
    <row r="6" spans="2:23" x14ac:dyDescent="0.25">
      <c r="B6" s="69" t="s">
        <v>15</v>
      </c>
      <c r="C6" s="70"/>
      <c r="D6" s="71"/>
      <c r="E6" s="7" t="s">
        <v>12</v>
      </c>
      <c r="F6" s="25">
        <v>800000</v>
      </c>
      <c r="G6" s="72"/>
      <c r="H6" s="72"/>
      <c r="I6" s="72"/>
      <c r="J6" s="72"/>
      <c r="K6" s="72"/>
      <c r="L6" s="72"/>
      <c r="N6" s="7" t="s">
        <v>14</v>
      </c>
      <c r="O6" s="6">
        <f>$F$4</f>
        <v>202970</v>
      </c>
      <c r="P6" s="6">
        <f>O6*30</f>
        <v>6089100</v>
      </c>
      <c r="Q6" s="6">
        <f t="shared" ref="Q6:Q13" si="0">P6*12</f>
        <v>73069200</v>
      </c>
      <c r="S6" s="7" t="s">
        <v>32</v>
      </c>
      <c r="T6" s="7">
        <v>1</v>
      </c>
      <c r="V6" s="7" t="s">
        <v>47</v>
      </c>
      <c r="W6" s="7">
        <v>1</v>
      </c>
    </row>
    <row r="7" spans="2:23" x14ac:dyDescent="0.25">
      <c r="B7" s="69" t="s">
        <v>43</v>
      </c>
      <c r="C7" s="70"/>
      <c r="D7" s="71"/>
      <c r="E7" s="7"/>
      <c r="F7" s="25">
        <v>22</v>
      </c>
      <c r="G7" s="72"/>
      <c r="H7" s="72"/>
      <c r="I7" s="72"/>
      <c r="J7" s="72"/>
      <c r="K7" s="72"/>
      <c r="L7" s="72"/>
      <c r="N7" s="7" t="s">
        <v>13</v>
      </c>
      <c r="O7" s="6" t="s">
        <v>12</v>
      </c>
      <c r="P7" s="6">
        <f>$F$5</f>
        <v>200800</v>
      </c>
      <c r="Q7" s="6">
        <f t="shared" si="0"/>
        <v>2409600</v>
      </c>
      <c r="S7" s="7" t="s">
        <v>33</v>
      </c>
      <c r="T7" s="7">
        <v>0.75</v>
      </c>
      <c r="V7" s="7" t="s">
        <v>48</v>
      </c>
      <c r="W7" s="7">
        <v>1.2</v>
      </c>
    </row>
    <row r="8" spans="2:23" x14ac:dyDescent="0.25">
      <c r="B8" s="69" t="s">
        <v>79</v>
      </c>
      <c r="C8" s="70"/>
      <c r="D8" s="71"/>
      <c r="E8" s="7"/>
      <c r="F8" s="26">
        <v>0.2</v>
      </c>
      <c r="G8" s="72"/>
      <c r="H8" s="72"/>
      <c r="I8" s="72"/>
      <c r="J8" s="72"/>
      <c r="K8" s="72"/>
      <c r="L8" s="72"/>
      <c r="N8" s="7" t="s">
        <v>15</v>
      </c>
      <c r="O8" s="6" t="s">
        <v>12</v>
      </c>
      <c r="P8" s="6">
        <f>$F$6</f>
        <v>800000</v>
      </c>
      <c r="Q8" s="6">
        <f t="shared" si="0"/>
        <v>9600000</v>
      </c>
      <c r="S8" s="7" t="s">
        <v>34</v>
      </c>
      <c r="T8" s="7">
        <v>0.5</v>
      </c>
    </row>
    <row r="9" spans="2:23" x14ac:dyDescent="0.25">
      <c r="B9" s="69" t="s">
        <v>70</v>
      </c>
      <c r="C9" s="70"/>
      <c r="D9" s="71"/>
      <c r="E9" s="7"/>
      <c r="F9" s="27">
        <f>1+0.62+0.33</f>
        <v>1.9500000000000002</v>
      </c>
      <c r="G9" s="72"/>
      <c r="H9" s="72"/>
      <c r="I9" s="72"/>
      <c r="J9" s="72"/>
      <c r="K9" s="72"/>
      <c r="L9" s="72"/>
      <c r="N9" s="7" t="s">
        <v>16</v>
      </c>
      <c r="O9" s="6" t="s">
        <v>17</v>
      </c>
      <c r="P9" s="6">
        <f>(P6+P7+P8)*20%*0</f>
        <v>0</v>
      </c>
      <c r="Q9" s="6">
        <f t="shared" si="0"/>
        <v>0</v>
      </c>
      <c r="V9" s="31"/>
    </row>
    <row r="10" spans="2:23" x14ac:dyDescent="0.25">
      <c r="B10" s="69" t="s">
        <v>69</v>
      </c>
      <c r="C10" s="70"/>
      <c r="D10" s="71"/>
      <c r="E10" s="7"/>
      <c r="F10" s="27">
        <f>1.33</f>
        <v>1.33</v>
      </c>
      <c r="G10" s="81"/>
      <c r="H10" s="81"/>
      <c r="I10" s="81"/>
      <c r="J10" s="81"/>
      <c r="K10" s="81"/>
      <c r="L10" s="81"/>
      <c r="N10" s="7" t="s">
        <v>19</v>
      </c>
      <c r="O10" s="6" t="s">
        <v>18</v>
      </c>
      <c r="P10" s="6">
        <f>(P6+P7+P8)*3%*0</f>
        <v>0</v>
      </c>
      <c r="Q10" s="6">
        <f t="shared" si="0"/>
        <v>0</v>
      </c>
      <c r="V10" s="30" t="s">
        <v>55</v>
      </c>
    </row>
    <row r="11" spans="2:23" x14ac:dyDescent="0.25">
      <c r="B11" s="69" t="s">
        <v>0</v>
      </c>
      <c r="C11" s="70"/>
      <c r="D11" s="71"/>
      <c r="E11" s="7" t="s">
        <v>44</v>
      </c>
      <c r="F11" s="13">
        <f>$Q$26</f>
        <v>189000</v>
      </c>
      <c r="G11" s="81"/>
      <c r="H11" s="81"/>
      <c r="I11" s="81"/>
      <c r="J11" s="81"/>
      <c r="K11" s="81"/>
      <c r="L11" s="81"/>
      <c r="N11" s="7" t="s">
        <v>63</v>
      </c>
      <c r="O11" s="6" t="s">
        <v>64</v>
      </c>
      <c r="P11" s="6">
        <f>O6*6</f>
        <v>1217820</v>
      </c>
      <c r="Q11" s="6">
        <f t="shared" si="0"/>
        <v>14613840</v>
      </c>
      <c r="V11" s="7" t="s">
        <v>56</v>
      </c>
      <c r="W11" s="7">
        <v>1</v>
      </c>
    </row>
    <row r="12" spans="2:23" ht="15" customHeight="1" x14ac:dyDescent="0.25">
      <c r="B12" s="69" t="s">
        <v>4</v>
      </c>
      <c r="C12" s="70"/>
      <c r="D12" s="71"/>
      <c r="E12" s="18" t="s">
        <v>32</v>
      </c>
      <c r="F12" s="28">
        <f>VLOOKUP(E12,$S$5:$T$8,2,FALSE)</f>
        <v>1</v>
      </c>
      <c r="G12" s="82" t="s">
        <v>73</v>
      </c>
      <c r="H12" s="83"/>
      <c r="I12" s="83"/>
      <c r="J12" s="83"/>
      <c r="K12" s="83"/>
      <c r="L12" s="84"/>
      <c r="N12" s="7" t="s">
        <v>21</v>
      </c>
      <c r="O12" s="6" t="s">
        <v>20</v>
      </c>
      <c r="P12" s="6">
        <f>P6/6</f>
        <v>1014850</v>
      </c>
      <c r="Q12" s="6">
        <f t="shared" si="0"/>
        <v>12178200</v>
      </c>
      <c r="V12" s="7" t="s">
        <v>57</v>
      </c>
      <c r="W12" s="7">
        <v>1.4</v>
      </c>
    </row>
    <row r="13" spans="2:23" x14ac:dyDescent="0.25">
      <c r="B13" s="69" t="s">
        <v>5</v>
      </c>
      <c r="C13" s="70"/>
      <c r="D13" s="71"/>
      <c r="E13" s="18" t="s">
        <v>37</v>
      </c>
      <c r="F13" s="28">
        <f>VLOOKUP(E13,$S$13:$T$17,2,FALSE)</f>
        <v>1</v>
      </c>
      <c r="G13" s="72" t="s">
        <v>7</v>
      </c>
      <c r="H13" s="72"/>
      <c r="I13" s="72"/>
      <c r="J13" s="72"/>
      <c r="K13" s="72"/>
      <c r="L13" s="72"/>
      <c r="N13" s="7" t="s">
        <v>22</v>
      </c>
      <c r="O13" s="6" t="s">
        <v>23</v>
      </c>
      <c r="P13" s="6">
        <f>P6/12</f>
        <v>507425</v>
      </c>
      <c r="Q13" s="6">
        <f t="shared" si="0"/>
        <v>6089100</v>
      </c>
      <c r="S13" s="7" t="s">
        <v>35</v>
      </c>
      <c r="T13" s="7">
        <v>0.6</v>
      </c>
    </row>
    <row r="14" spans="2:23" x14ac:dyDescent="0.25">
      <c r="B14" s="69" t="s">
        <v>6</v>
      </c>
      <c r="C14" s="70"/>
      <c r="D14" s="71"/>
      <c r="E14" s="29">
        <f>F13+MIN(((F14-3)/20),0.5)</f>
        <v>1</v>
      </c>
      <c r="F14" s="14">
        <v>3</v>
      </c>
      <c r="G14" s="72" t="s">
        <v>45</v>
      </c>
      <c r="H14" s="72"/>
      <c r="I14" s="72"/>
      <c r="J14" s="72"/>
      <c r="K14" s="72"/>
      <c r="L14" s="72"/>
      <c r="N14" s="7" t="s">
        <v>24</v>
      </c>
      <c r="O14" s="6"/>
      <c r="P14" s="6">
        <f>SUM(P6:P13)</f>
        <v>9829995</v>
      </c>
      <c r="Q14" s="6">
        <f>SUM(Q6:Q13)</f>
        <v>117959940</v>
      </c>
      <c r="S14" s="7" t="s">
        <v>36</v>
      </c>
      <c r="T14" s="7">
        <v>0.8</v>
      </c>
    </row>
    <row r="15" spans="2:23" x14ac:dyDescent="0.25">
      <c r="B15" s="69" t="s">
        <v>46</v>
      </c>
      <c r="C15" s="70"/>
      <c r="D15" s="71"/>
      <c r="E15" s="18" t="s">
        <v>47</v>
      </c>
      <c r="F15" s="28">
        <f>VLOOKUP(E15,$V$6:$W$7,2,FALSE)</f>
        <v>1</v>
      </c>
      <c r="G15" s="72"/>
      <c r="H15" s="72"/>
      <c r="I15" s="72"/>
      <c r="J15" s="72"/>
      <c r="K15" s="72"/>
      <c r="L15" s="72"/>
      <c r="N15" s="8"/>
      <c r="O15" s="9"/>
      <c r="P15" s="9"/>
      <c r="Q15" s="9"/>
      <c r="S15" s="7" t="s">
        <v>37</v>
      </c>
      <c r="T15" s="7">
        <v>1</v>
      </c>
    </row>
    <row r="16" spans="2:23" x14ac:dyDescent="0.25">
      <c r="B16" s="69" t="s">
        <v>54</v>
      </c>
      <c r="C16" s="70"/>
      <c r="D16" s="71"/>
      <c r="E16" s="18" t="s">
        <v>56</v>
      </c>
      <c r="F16" s="28">
        <f>VLOOKUP(E16,$V$11:$W$12,2,FALSE)</f>
        <v>1</v>
      </c>
      <c r="G16" s="72"/>
      <c r="H16" s="72"/>
      <c r="I16" s="72"/>
      <c r="J16" s="72"/>
      <c r="K16" s="72"/>
      <c r="L16" s="72"/>
      <c r="N16" s="8"/>
      <c r="O16" s="33"/>
      <c r="P16" s="9"/>
      <c r="Q16" s="9"/>
      <c r="S16" s="7" t="s">
        <v>38</v>
      </c>
      <c r="T16" s="7">
        <v>1.5</v>
      </c>
    </row>
    <row r="17" spans="2:22" ht="18.75" thickBot="1" x14ac:dyDescent="0.5">
      <c r="N17" s="10"/>
      <c r="O17" s="32" t="s">
        <v>28</v>
      </c>
      <c r="P17" s="10" t="s">
        <v>29</v>
      </c>
      <c r="Q17" s="11" t="s">
        <v>30</v>
      </c>
      <c r="S17" s="7" t="s">
        <v>39</v>
      </c>
      <c r="T17" s="7">
        <v>2</v>
      </c>
    </row>
    <row r="18" spans="2:22" ht="30.75" thickBot="1" x14ac:dyDescent="0.3">
      <c r="B18" s="85" t="s">
        <v>61</v>
      </c>
      <c r="C18" s="85"/>
      <c r="D18" s="85"/>
      <c r="E18" s="85"/>
      <c r="F18" s="85"/>
      <c r="G18" s="85"/>
      <c r="H18" s="85"/>
      <c r="I18" s="85"/>
      <c r="J18" s="85"/>
      <c r="N18" s="15" t="s">
        <v>40</v>
      </c>
      <c r="O18" s="16">
        <f>365-52</f>
        <v>313</v>
      </c>
      <c r="P18" s="16">
        <v>7.33</v>
      </c>
      <c r="Q18" s="17">
        <f>P18*O18</f>
        <v>2294.29</v>
      </c>
    </row>
    <row r="19" spans="2:22" ht="120" thickBot="1" x14ac:dyDescent="0.5">
      <c r="B19" s="24" t="s">
        <v>59</v>
      </c>
      <c r="C19" s="3" t="s">
        <v>49</v>
      </c>
      <c r="D19" s="3" t="s">
        <v>51</v>
      </c>
      <c r="E19" s="3" t="s">
        <v>53</v>
      </c>
      <c r="F19" s="3" t="s">
        <v>1</v>
      </c>
      <c r="G19" s="3" t="s">
        <v>50</v>
      </c>
      <c r="H19" s="3" t="s">
        <v>52</v>
      </c>
      <c r="I19" s="3" t="s">
        <v>2</v>
      </c>
      <c r="J19" s="4" t="s">
        <v>3</v>
      </c>
      <c r="N19" s="7" t="s">
        <v>25</v>
      </c>
      <c r="O19" s="10">
        <v>26</v>
      </c>
      <c r="P19" s="10">
        <v>7.33</v>
      </c>
      <c r="Q19" s="10">
        <f>ROUND(P19*O19,0)</f>
        <v>191</v>
      </c>
      <c r="S19" s="8"/>
      <c r="T19" s="9"/>
      <c r="U19" s="9"/>
      <c r="V19" s="9"/>
    </row>
    <row r="20" spans="2:22" ht="18.75" thickBot="1" x14ac:dyDescent="0.5">
      <c r="B20" s="21" t="s">
        <v>58</v>
      </c>
      <c r="C20" s="22">
        <v>1.4</v>
      </c>
      <c r="D20" s="22">
        <v>1.6</v>
      </c>
      <c r="E20" s="22">
        <v>2</v>
      </c>
      <c r="F20" s="22">
        <v>2.2000000000000002</v>
      </c>
      <c r="G20" s="22">
        <v>2.5</v>
      </c>
      <c r="H20" s="22">
        <v>3</v>
      </c>
      <c r="I20" s="22">
        <v>3.6</v>
      </c>
      <c r="J20" s="23">
        <v>4.2</v>
      </c>
      <c r="N20" s="7" t="s">
        <v>26</v>
      </c>
      <c r="O20" s="12">
        <f>$F$7</f>
        <v>22</v>
      </c>
      <c r="P20" s="10">
        <v>7.33</v>
      </c>
      <c r="Q20" s="10">
        <f>ROUND(P20*O20,0)</f>
        <v>161</v>
      </c>
    </row>
    <row r="21" spans="2:22" ht="18.75" thickBot="1" x14ac:dyDescent="0.5">
      <c r="B21" s="2">
        <v>1</v>
      </c>
      <c r="C21" s="1">
        <f>ROUND(($F$11*$F$12*C$20*$E$14*$F$15*$F$16*(1+1/(1+$B21)))/1000,0)*1000</f>
        <v>397000</v>
      </c>
      <c r="D21" s="1">
        <f t="shared" ref="D21:J21" si="1">ROUND(($F$11*$F$12*D$20*$E$14*$F$15*$F$16*(1+1/(1+$B21)))/1000,0)*1000</f>
        <v>454000</v>
      </c>
      <c r="E21" s="1">
        <f t="shared" si="1"/>
        <v>567000</v>
      </c>
      <c r="F21" s="1">
        <f t="shared" si="1"/>
        <v>624000</v>
      </c>
      <c r="G21" s="1">
        <f t="shared" si="1"/>
        <v>709000</v>
      </c>
      <c r="H21" s="1">
        <f t="shared" si="1"/>
        <v>851000</v>
      </c>
      <c r="I21" s="1">
        <f t="shared" si="1"/>
        <v>1021000</v>
      </c>
      <c r="J21" s="1">
        <f t="shared" si="1"/>
        <v>1191000</v>
      </c>
      <c r="N21" s="69" t="s">
        <v>27</v>
      </c>
      <c r="O21" s="70"/>
      <c r="P21" s="71"/>
      <c r="Q21" s="12">
        <f>Q18-(Q19+Q20)</f>
        <v>1942.29</v>
      </c>
    </row>
    <row r="22" spans="2:22" ht="18.75" thickBot="1" x14ac:dyDescent="0.5">
      <c r="B22" s="2">
        <v>2</v>
      </c>
      <c r="C22" s="1">
        <f t="shared" ref="C22:J27" si="2">ROUND(($F$11*$F$12*C$20*$E$14*$F$15*$F$16*(1+1/(1+$B22)))/1000,0)*1000</f>
        <v>353000</v>
      </c>
      <c r="D22" s="1">
        <f t="shared" si="2"/>
        <v>403000</v>
      </c>
      <c r="E22" s="1">
        <f t="shared" si="2"/>
        <v>504000</v>
      </c>
      <c r="F22" s="1">
        <f t="shared" si="2"/>
        <v>554000</v>
      </c>
      <c r="G22" s="1">
        <f t="shared" si="2"/>
        <v>630000</v>
      </c>
      <c r="H22" s="1">
        <f t="shared" si="2"/>
        <v>756000</v>
      </c>
      <c r="I22" s="1">
        <f t="shared" si="2"/>
        <v>907000</v>
      </c>
      <c r="J22" s="1">
        <f t="shared" si="2"/>
        <v>1058000</v>
      </c>
      <c r="N22" s="69" t="s">
        <v>67</v>
      </c>
      <c r="O22" s="70"/>
      <c r="P22" s="71"/>
      <c r="Q22" s="12">
        <f>Q14/Q21</f>
        <v>60732.403503081412</v>
      </c>
    </row>
    <row r="23" spans="2:22" ht="18.75" thickBot="1" x14ac:dyDescent="0.5">
      <c r="B23" s="2">
        <v>3</v>
      </c>
      <c r="C23" s="1">
        <f t="shared" si="2"/>
        <v>331000</v>
      </c>
      <c r="D23" s="1">
        <f t="shared" si="2"/>
        <v>378000</v>
      </c>
      <c r="E23" s="1">
        <f t="shared" si="2"/>
        <v>473000</v>
      </c>
      <c r="F23" s="1">
        <f t="shared" si="2"/>
        <v>520000</v>
      </c>
      <c r="G23" s="1">
        <f t="shared" si="2"/>
        <v>591000</v>
      </c>
      <c r="H23" s="1">
        <f t="shared" si="2"/>
        <v>709000</v>
      </c>
      <c r="I23" s="1">
        <f t="shared" si="2"/>
        <v>851000</v>
      </c>
      <c r="J23" s="1">
        <f t="shared" si="2"/>
        <v>992000</v>
      </c>
      <c r="N23" s="7" t="s">
        <v>79</v>
      </c>
      <c r="O23" s="19">
        <f>$F$8</f>
        <v>0.2</v>
      </c>
      <c r="P23" s="10"/>
      <c r="Q23" s="12">
        <f>Q22+Q22*O23</f>
        <v>72878.8842036977</v>
      </c>
    </row>
    <row r="24" spans="2:22" ht="18.75" thickBot="1" x14ac:dyDescent="0.5">
      <c r="B24" s="2">
        <v>4</v>
      </c>
      <c r="C24" s="1">
        <f t="shared" si="2"/>
        <v>318000</v>
      </c>
      <c r="D24" s="1">
        <f t="shared" si="2"/>
        <v>363000</v>
      </c>
      <c r="E24" s="1">
        <f t="shared" si="2"/>
        <v>454000</v>
      </c>
      <c r="F24" s="1">
        <f t="shared" si="2"/>
        <v>499000</v>
      </c>
      <c r="G24" s="1">
        <f t="shared" si="2"/>
        <v>567000</v>
      </c>
      <c r="H24" s="1">
        <f t="shared" si="2"/>
        <v>680000</v>
      </c>
      <c r="I24" s="1">
        <f t="shared" si="2"/>
        <v>816000</v>
      </c>
      <c r="J24" s="1">
        <f t="shared" si="2"/>
        <v>953000</v>
      </c>
      <c r="N24" s="7" t="s">
        <v>70</v>
      </c>
      <c r="O24" s="20">
        <f>$F$9</f>
        <v>1.9500000000000002</v>
      </c>
      <c r="P24" s="10"/>
      <c r="Q24" s="12">
        <f>Q23*O24</f>
        <v>142113.82419721052</v>
      </c>
    </row>
    <row r="25" spans="2:22" ht="18.75" thickBot="1" x14ac:dyDescent="0.5">
      <c r="B25" s="2">
        <v>5</v>
      </c>
      <c r="C25" s="1">
        <f t="shared" si="2"/>
        <v>309000</v>
      </c>
      <c r="D25" s="1">
        <f t="shared" si="2"/>
        <v>353000</v>
      </c>
      <c r="E25" s="1">
        <f t="shared" si="2"/>
        <v>441000</v>
      </c>
      <c r="F25" s="1">
        <f t="shared" si="2"/>
        <v>485000</v>
      </c>
      <c r="G25" s="1">
        <f t="shared" si="2"/>
        <v>551000</v>
      </c>
      <c r="H25" s="1">
        <f t="shared" si="2"/>
        <v>662000</v>
      </c>
      <c r="I25" s="1">
        <f t="shared" si="2"/>
        <v>794000</v>
      </c>
      <c r="J25" s="1">
        <f t="shared" si="2"/>
        <v>926000</v>
      </c>
      <c r="N25" s="7" t="s">
        <v>68</v>
      </c>
      <c r="O25" s="20">
        <f>$F$10</f>
        <v>1.33</v>
      </c>
      <c r="P25" s="10"/>
      <c r="Q25" s="12">
        <f>Q24*O25</f>
        <v>189011.38618229001</v>
      </c>
    </row>
    <row r="26" spans="2:22" ht="18.75" thickBot="1" x14ac:dyDescent="0.5">
      <c r="B26" s="2">
        <v>6</v>
      </c>
      <c r="C26" s="1">
        <f t="shared" si="2"/>
        <v>302000</v>
      </c>
      <c r="D26" s="1">
        <f t="shared" si="2"/>
        <v>346000</v>
      </c>
      <c r="E26" s="1">
        <f t="shared" si="2"/>
        <v>432000</v>
      </c>
      <c r="F26" s="1">
        <f t="shared" si="2"/>
        <v>475000</v>
      </c>
      <c r="G26" s="1">
        <f t="shared" si="2"/>
        <v>540000</v>
      </c>
      <c r="H26" s="1">
        <f t="shared" si="2"/>
        <v>648000</v>
      </c>
      <c r="I26" s="1">
        <f t="shared" si="2"/>
        <v>778000</v>
      </c>
      <c r="J26" s="1">
        <f t="shared" si="2"/>
        <v>907000</v>
      </c>
      <c r="N26" s="72" t="s">
        <v>66</v>
      </c>
      <c r="O26" s="72"/>
      <c r="P26" s="72"/>
      <c r="Q26" s="12">
        <f>ROUND(Q25/1000,0)*1000</f>
        <v>189000</v>
      </c>
    </row>
    <row r="27" spans="2:22" ht="18" thickBot="1" x14ac:dyDescent="0.45">
      <c r="B27" s="5">
        <v>7</v>
      </c>
      <c r="C27" s="1">
        <f t="shared" si="2"/>
        <v>298000</v>
      </c>
      <c r="D27" s="1">
        <f t="shared" si="2"/>
        <v>340000</v>
      </c>
      <c r="E27" s="1">
        <f t="shared" si="2"/>
        <v>425000</v>
      </c>
      <c r="F27" s="1">
        <f t="shared" si="2"/>
        <v>468000</v>
      </c>
      <c r="G27" s="1">
        <f t="shared" si="2"/>
        <v>532000</v>
      </c>
      <c r="H27" s="1">
        <f t="shared" si="2"/>
        <v>638000</v>
      </c>
      <c r="I27" s="1">
        <f t="shared" si="2"/>
        <v>765000</v>
      </c>
      <c r="J27" s="1">
        <f t="shared" si="2"/>
        <v>893000</v>
      </c>
    </row>
    <row r="31" spans="2:22" ht="15.75" thickBot="1" x14ac:dyDescent="0.3"/>
    <row r="32" spans="2:22" ht="42" customHeight="1" thickBot="1" x14ac:dyDescent="0.3">
      <c r="B32" s="86" t="s">
        <v>74</v>
      </c>
      <c r="C32" s="87"/>
      <c r="D32" s="87"/>
      <c r="E32" s="88"/>
    </row>
    <row r="33" spans="2:5" ht="64.5" customHeight="1" thickBot="1" x14ac:dyDescent="0.3">
      <c r="B33" s="24" t="s">
        <v>59</v>
      </c>
      <c r="C33" s="3" t="s">
        <v>75</v>
      </c>
      <c r="D33" s="3" t="s">
        <v>76</v>
      </c>
      <c r="E33" s="3" t="s">
        <v>77</v>
      </c>
    </row>
    <row r="34" spans="2:5" ht="15.75" thickBot="1" x14ac:dyDescent="0.3">
      <c r="B34" s="21" t="s">
        <v>72</v>
      </c>
      <c r="C34" s="18" t="s">
        <v>37</v>
      </c>
      <c r="D34" s="18" t="s">
        <v>37</v>
      </c>
      <c r="E34" s="18" t="s">
        <v>37</v>
      </c>
    </row>
    <row r="35" spans="2:5" ht="15.75" thickBot="1" x14ac:dyDescent="0.3">
      <c r="B35" s="21" t="s">
        <v>71</v>
      </c>
      <c r="C35" s="14">
        <v>3</v>
      </c>
      <c r="D35" s="14">
        <v>6</v>
      </c>
      <c r="E35" s="14">
        <v>9</v>
      </c>
    </row>
    <row r="36" spans="2:5" ht="15.75" thickBot="1" x14ac:dyDescent="0.3">
      <c r="B36" s="21" t="s">
        <v>58</v>
      </c>
      <c r="C36" s="22">
        <v>2.5</v>
      </c>
      <c r="D36" s="22">
        <v>4</v>
      </c>
      <c r="E36" s="22">
        <v>5</v>
      </c>
    </row>
    <row r="37" spans="2:5" ht="18" thickBot="1" x14ac:dyDescent="0.45">
      <c r="B37" s="2">
        <v>1</v>
      </c>
      <c r="C37" s="1">
        <f>ROUND(($F$11*C$36*(VLOOKUP(C$34,$S$13:$T$17,2,FALSE)+MIN(((C$36-3)/20),0.5))*$F$15*$F$16*(1+1/(1+$B37))*$F$12)/1000,0)*1000</f>
        <v>691000</v>
      </c>
      <c r="D37" s="1">
        <f>ROUND(($F$11*D$36*(VLOOKUP(D$34,$S$13:$T$17,2,FALSE)+MIN(((D$36-3)/20),0.5))*$F$15*$F$16*(1+1/(1+$B37))*$F$12)/1000,0)*1000</f>
        <v>1191000</v>
      </c>
      <c r="E37" s="1">
        <f>ROUND(($F$11*E$36*(VLOOKUP(E$34,$S$13:$T$17,2,FALSE)+MIN(((E$36-3)/20),0.5))*$F$15*$F$16*(1+1/(1+$B37))*$F$12)/1000,0)*1000</f>
        <v>1559000</v>
      </c>
    </row>
    <row r="38" spans="2:5" ht="18" thickBot="1" x14ac:dyDescent="0.45">
      <c r="B38" s="2">
        <v>2</v>
      </c>
      <c r="C38" s="1">
        <f t="shared" ref="C38:E43" si="3">ROUND(($F$11*C$36*(VLOOKUP(C$34,$S$13:$T$17,2,FALSE)+MIN(((C$36-3)/20),0.5))*$F$15*$F$16*(1+1/(1+$B38))*$F$12)/1000,0)*1000</f>
        <v>614000</v>
      </c>
      <c r="D38" s="1">
        <f t="shared" si="3"/>
        <v>1058000</v>
      </c>
      <c r="E38" s="1">
        <f t="shared" si="3"/>
        <v>1386000</v>
      </c>
    </row>
    <row r="39" spans="2:5" ht="18" thickBot="1" x14ac:dyDescent="0.45">
      <c r="B39" s="2">
        <v>3</v>
      </c>
      <c r="C39" s="1">
        <f t="shared" si="3"/>
        <v>576000</v>
      </c>
      <c r="D39" s="1">
        <f t="shared" si="3"/>
        <v>992000</v>
      </c>
      <c r="E39" s="1">
        <f t="shared" si="3"/>
        <v>1299000</v>
      </c>
    </row>
    <row r="40" spans="2:5" ht="18" thickBot="1" x14ac:dyDescent="0.45">
      <c r="B40" s="2">
        <v>4</v>
      </c>
      <c r="C40" s="1">
        <f t="shared" si="3"/>
        <v>553000</v>
      </c>
      <c r="D40" s="1">
        <f t="shared" si="3"/>
        <v>953000</v>
      </c>
      <c r="E40" s="1">
        <f t="shared" si="3"/>
        <v>1247000</v>
      </c>
    </row>
    <row r="41" spans="2:5" ht="18" thickBot="1" x14ac:dyDescent="0.45">
      <c r="B41" s="2">
        <v>5</v>
      </c>
      <c r="C41" s="1">
        <f t="shared" si="3"/>
        <v>537000</v>
      </c>
      <c r="D41" s="1">
        <f t="shared" si="3"/>
        <v>926000</v>
      </c>
      <c r="E41" s="1">
        <f t="shared" si="3"/>
        <v>1213000</v>
      </c>
    </row>
    <row r="42" spans="2:5" ht="18" thickBot="1" x14ac:dyDescent="0.45">
      <c r="B42" s="2">
        <v>6</v>
      </c>
      <c r="C42" s="1">
        <f t="shared" si="3"/>
        <v>527000</v>
      </c>
      <c r="D42" s="1">
        <f t="shared" si="3"/>
        <v>907000</v>
      </c>
      <c r="E42" s="1">
        <f t="shared" si="3"/>
        <v>1188000</v>
      </c>
    </row>
    <row r="43" spans="2:5" ht="18" thickBot="1" x14ac:dyDescent="0.45">
      <c r="B43" s="5">
        <v>7</v>
      </c>
      <c r="C43" s="1">
        <f t="shared" si="3"/>
        <v>518000</v>
      </c>
      <c r="D43" s="1">
        <f t="shared" si="3"/>
        <v>893000</v>
      </c>
      <c r="E43" s="1">
        <f t="shared" si="3"/>
        <v>1169000</v>
      </c>
    </row>
    <row r="44" spans="2:5" ht="18" thickBot="1" x14ac:dyDescent="0.45">
      <c r="B44" s="34" t="s">
        <v>78</v>
      </c>
      <c r="C44" s="1">
        <f>ROUND(($F$11*C$36*(VLOOKUP(C$34,$S$13:$T$17,2,FALSE)+MIN(((C$36-3)/20),0.5))*$F$15*$F$16*$F$12/$F$9)/1000,0)*1000</f>
        <v>236000</v>
      </c>
      <c r="D44" s="1">
        <f>ROUND(($F$11*D$36*(VLOOKUP(D$34,$S$13:$T$17,2,FALSE)+MIN(((D$36-3)/20),0.5))*$F$15*$F$16*$F$12/$F$9)/1000,0)*1000</f>
        <v>407000</v>
      </c>
      <c r="E44" s="1">
        <f>ROUND(($F$11*E$36*(VLOOKUP(E$34,$S$13:$T$17,2,FALSE)+MIN(((E$36-3)/20),0.5))*$F$15*$F$16*$F$12/$F$9)/1000,0)*1000</f>
        <v>533000</v>
      </c>
    </row>
    <row r="46" spans="2:5" ht="15.75" thickBot="1" x14ac:dyDescent="0.3"/>
    <row r="47" spans="2:5" ht="21.75" thickBot="1" x14ac:dyDescent="0.3">
      <c r="B47" s="86" t="s">
        <v>80</v>
      </c>
      <c r="C47" s="87"/>
      <c r="D47" s="87"/>
      <c r="E47" s="88"/>
    </row>
    <row r="48" spans="2:5" ht="127.5" customHeight="1" thickBot="1" x14ac:dyDescent="0.3">
      <c r="B48" s="24" t="s">
        <v>59</v>
      </c>
      <c r="C48" s="3" t="s">
        <v>81</v>
      </c>
      <c r="D48" s="3" t="s">
        <v>82</v>
      </c>
      <c r="E48" s="3" t="s">
        <v>83</v>
      </c>
    </row>
    <row r="49" spans="2:5" ht="15.75" thickBot="1" x14ac:dyDescent="0.3">
      <c r="B49" s="21" t="s">
        <v>72</v>
      </c>
      <c r="C49" s="18" t="s">
        <v>37</v>
      </c>
      <c r="D49" s="18" t="s">
        <v>37</v>
      </c>
      <c r="E49" s="18" t="s">
        <v>37</v>
      </c>
    </row>
    <row r="50" spans="2:5" ht="15.75" thickBot="1" x14ac:dyDescent="0.3">
      <c r="B50" s="21" t="s">
        <v>71</v>
      </c>
      <c r="C50" s="14">
        <v>3</v>
      </c>
      <c r="D50" s="14">
        <v>3</v>
      </c>
      <c r="E50" s="14">
        <v>3</v>
      </c>
    </row>
    <row r="51" spans="2:5" ht="15.75" thickBot="1" x14ac:dyDescent="0.3">
      <c r="B51" s="21" t="s">
        <v>58</v>
      </c>
      <c r="C51" s="22">
        <v>1.5</v>
      </c>
      <c r="D51" s="22">
        <v>2</v>
      </c>
      <c r="E51" s="22">
        <v>2.5</v>
      </c>
    </row>
    <row r="52" spans="2:5" ht="18" thickBot="1" x14ac:dyDescent="0.45">
      <c r="B52" s="2">
        <v>1</v>
      </c>
      <c r="C52" s="1">
        <f>ROUND(($F$11*C$51*(VLOOKUP(C$49,$S$13:$T$17,2,FALSE)+MIN(((C$50-3)/20),0.5))*$F$15*$F$16*(1+1/(1+$B52))*$F$12)/1000,0)*1000</f>
        <v>425000</v>
      </c>
      <c r="D52" s="1">
        <f>ROUND(($F$11*D$51*(VLOOKUP(D$49,$S$13:$T$17,2,FALSE)+MIN(((D$50-3)/20),0.5))*$F$15*$F$16*(1+1/(1+$B52))*$F$12)/1000,0)*1000</f>
        <v>567000</v>
      </c>
      <c r="E52" s="1">
        <f>ROUND(($F$11*E$51*(VLOOKUP(E$49,$S$13:$T$17,2,FALSE)+MIN(((E$50-3)/20),0.5))*$F$15*$F$16*(1+1/(1+$B52))*$F$12)/1000,0)*1000</f>
        <v>709000</v>
      </c>
    </row>
    <row r="53" spans="2:5" ht="18" thickBot="1" x14ac:dyDescent="0.45">
      <c r="B53" s="2">
        <v>2</v>
      </c>
      <c r="C53" s="1">
        <f t="shared" ref="C53:E58" si="4">ROUND(($F$11*C$51*(VLOOKUP(C$49,$S$13:$T$17,2,FALSE)+MIN(((C$50-3)/20),0.5))*$F$15*$F$16*(1+1/(1+$B53))*$F$12)/1000,0)*1000</f>
        <v>378000</v>
      </c>
      <c r="D53" s="1">
        <f t="shared" si="4"/>
        <v>504000</v>
      </c>
      <c r="E53" s="1">
        <f t="shared" si="4"/>
        <v>630000</v>
      </c>
    </row>
    <row r="54" spans="2:5" ht="18" thickBot="1" x14ac:dyDescent="0.45">
      <c r="B54" s="2">
        <v>3</v>
      </c>
      <c r="C54" s="1">
        <f t="shared" si="4"/>
        <v>354000</v>
      </c>
      <c r="D54" s="1">
        <f t="shared" si="4"/>
        <v>473000</v>
      </c>
      <c r="E54" s="1">
        <f t="shared" si="4"/>
        <v>591000</v>
      </c>
    </row>
    <row r="55" spans="2:5" ht="18" thickBot="1" x14ac:dyDescent="0.45">
      <c r="B55" s="2">
        <v>4</v>
      </c>
      <c r="C55" s="1">
        <f t="shared" si="4"/>
        <v>340000</v>
      </c>
      <c r="D55" s="1">
        <f t="shared" si="4"/>
        <v>454000</v>
      </c>
      <c r="E55" s="1">
        <f t="shared" si="4"/>
        <v>567000</v>
      </c>
    </row>
    <row r="56" spans="2:5" ht="18" thickBot="1" x14ac:dyDescent="0.45">
      <c r="B56" s="2">
        <v>5</v>
      </c>
      <c r="C56" s="1">
        <f t="shared" si="4"/>
        <v>331000</v>
      </c>
      <c r="D56" s="1">
        <f t="shared" si="4"/>
        <v>441000</v>
      </c>
      <c r="E56" s="1">
        <f t="shared" si="4"/>
        <v>551000</v>
      </c>
    </row>
    <row r="57" spans="2:5" ht="18" thickBot="1" x14ac:dyDescent="0.45">
      <c r="B57" s="2">
        <v>6</v>
      </c>
      <c r="C57" s="1">
        <f t="shared" si="4"/>
        <v>324000</v>
      </c>
      <c r="D57" s="1">
        <f t="shared" si="4"/>
        <v>432000</v>
      </c>
      <c r="E57" s="1">
        <f t="shared" si="4"/>
        <v>540000</v>
      </c>
    </row>
    <row r="58" spans="2:5" ht="18" thickBot="1" x14ac:dyDescent="0.45">
      <c r="B58" s="5">
        <v>7</v>
      </c>
      <c r="C58" s="1">
        <f t="shared" si="4"/>
        <v>319000</v>
      </c>
      <c r="D58" s="1">
        <f t="shared" si="4"/>
        <v>425000</v>
      </c>
      <c r="E58" s="1">
        <f t="shared" si="4"/>
        <v>532000</v>
      </c>
    </row>
    <row r="59" spans="2:5" ht="18" thickBot="1" x14ac:dyDescent="0.45">
      <c r="B59" s="34" t="s">
        <v>84</v>
      </c>
      <c r="C59" s="1">
        <f>ROUND(($F$11*C$51*(VLOOKUP(C$49,$S$13:$T$17,2,FALSE)+MIN(((C$50-3)/20),0.5))*$F$15*$F$16*$F$12)/1000,0)*1000</f>
        <v>284000</v>
      </c>
      <c r="D59" s="1">
        <f>ROUND(($F$11*D$51*(VLOOKUP(D$49,$S$13:$T$17,2,FALSE)+MIN(((D$50-3)/20),0.5))*$F$15*$F$16*$F$12)/1000,0)*1000</f>
        <v>378000</v>
      </c>
      <c r="E59" s="1">
        <f>ROUND(($F$11*E$51*(VLOOKUP(E$49,$S$13:$T$17,2,FALSE)+MIN(((E$50-3)/20),0.5))*$F$15*$F$16*$F$12)/1000,0)*1000</f>
        <v>473000</v>
      </c>
    </row>
    <row r="60" spans="2:5" ht="18" thickBot="1" x14ac:dyDescent="0.45">
      <c r="B60" s="34" t="s">
        <v>85</v>
      </c>
      <c r="C60" s="1">
        <f>ROUND(($F$11*C$51*(VLOOKUP(C$49,$S$13:$T$17,2,FALSE)+MIN(((C$50-3)/20),0.5))*$F$15*$F$16*$F$12/$F$9)/1000,0)*1000</f>
        <v>145000</v>
      </c>
      <c r="D60" s="1">
        <f>ROUND(($F$11*D$51*(VLOOKUP(D$49,$S$13:$T$17,2,FALSE)+MIN(((D$50-3)/20),0.5))*$F$15*$F$16*$F$12/$F$9)/1000,0)*1000</f>
        <v>194000</v>
      </c>
      <c r="E60" s="1">
        <f>ROUND(($F$11*E$51*(VLOOKUP(E$49,$S$13:$T$17,2,FALSE)+MIN(((E$50-3)/20),0.5))*$F$15*$F$16*$F$12/$F$9)/1000,0)*1000</f>
        <v>242000</v>
      </c>
    </row>
    <row r="65" spans="2:6" ht="15.75" x14ac:dyDescent="0.25">
      <c r="B65" s="75" t="s">
        <v>93</v>
      </c>
      <c r="C65" s="75"/>
      <c r="D65" s="75"/>
      <c r="E65" s="75"/>
    </row>
    <row r="66" spans="2:6" ht="15.75" x14ac:dyDescent="0.25">
      <c r="B66" s="76" t="s">
        <v>87</v>
      </c>
      <c r="C66" s="76"/>
      <c r="D66" s="76"/>
      <c r="E66" s="36" t="s">
        <v>88</v>
      </c>
    </row>
    <row r="67" spans="2:6" ht="15.75" x14ac:dyDescent="0.25">
      <c r="B67" s="75" t="s">
        <v>89</v>
      </c>
      <c r="C67" s="75"/>
      <c r="D67" s="75"/>
      <c r="E67" s="66">
        <v>1</v>
      </c>
    </row>
    <row r="68" spans="2:6" ht="15.75" x14ac:dyDescent="0.25">
      <c r="B68" s="77" t="s">
        <v>90</v>
      </c>
      <c r="C68" s="77"/>
      <c r="D68" s="77"/>
      <c r="E68" s="68">
        <v>1.1000000000000001</v>
      </c>
    </row>
    <row r="69" spans="2:6" ht="15.75" x14ac:dyDescent="0.25">
      <c r="B69" s="75" t="s">
        <v>91</v>
      </c>
      <c r="C69" s="75"/>
      <c r="D69" s="75"/>
      <c r="E69" s="66">
        <v>1.5</v>
      </c>
    </row>
    <row r="70" spans="2:6" ht="15.75" x14ac:dyDescent="0.25">
      <c r="B70" s="77" t="s">
        <v>92</v>
      </c>
      <c r="C70" s="77"/>
      <c r="D70" s="77"/>
      <c r="E70" s="68">
        <v>2</v>
      </c>
    </row>
    <row r="72" spans="2:6" ht="31.5" customHeight="1" x14ac:dyDescent="0.25">
      <c r="B72" s="42"/>
      <c r="C72" s="42"/>
      <c r="D72" s="75" t="s">
        <v>99</v>
      </c>
      <c r="E72" s="75"/>
    </row>
    <row r="73" spans="2:6" ht="31.5" x14ac:dyDescent="0.25">
      <c r="B73" s="43"/>
      <c r="C73" s="43"/>
      <c r="D73" s="41" t="s">
        <v>98</v>
      </c>
      <c r="E73" s="37" t="s">
        <v>88</v>
      </c>
    </row>
    <row r="74" spans="2:6" ht="47.25" x14ac:dyDescent="0.25">
      <c r="B74" s="42"/>
      <c r="C74" s="42"/>
      <c r="D74" s="39" t="s">
        <v>94</v>
      </c>
      <c r="E74" s="66">
        <v>2</v>
      </c>
    </row>
    <row r="75" spans="2:6" ht="63" x14ac:dyDescent="0.25">
      <c r="B75" s="42"/>
      <c r="C75" s="42"/>
      <c r="D75" s="40" t="s">
        <v>95</v>
      </c>
      <c r="E75" s="67">
        <v>1.8</v>
      </c>
    </row>
    <row r="76" spans="2:6" ht="78.75" x14ac:dyDescent="0.25">
      <c r="B76" s="42"/>
      <c r="C76" s="42"/>
      <c r="D76" s="39" t="s">
        <v>96</v>
      </c>
      <c r="E76" s="66">
        <v>1.4</v>
      </c>
    </row>
    <row r="77" spans="2:6" ht="94.5" x14ac:dyDescent="0.25">
      <c r="B77" s="42"/>
      <c r="C77" s="42"/>
      <c r="D77" s="40" t="s">
        <v>97</v>
      </c>
      <c r="E77" s="67">
        <v>1</v>
      </c>
    </row>
    <row r="79" spans="2:6" ht="21.75" customHeight="1" thickBot="1" x14ac:dyDescent="0.3">
      <c r="B79" s="73" t="s">
        <v>86</v>
      </c>
      <c r="C79" s="74"/>
      <c r="D79" s="74"/>
      <c r="E79" s="74"/>
      <c r="F79" s="74"/>
    </row>
    <row r="80" spans="2:6" ht="77.25" customHeight="1" thickBot="1" x14ac:dyDescent="0.3">
      <c r="B80" s="24" t="s">
        <v>104</v>
      </c>
      <c r="C80" s="3" t="s">
        <v>100</v>
      </c>
      <c r="D80" s="3" t="s">
        <v>101</v>
      </c>
      <c r="E80" s="3" t="s">
        <v>102</v>
      </c>
      <c r="F80" s="3" t="s">
        <v>103</v>
      </c>
    </row>
    <row r="81" spans="2:6" ht="97.5" customHeight="1" thickBot="1" x14ac:dyDescent="0.3">
      <c r="B81" s="21" t="s">
        <v>105</v>
      </c>
      <c r="C81" s="49" t="s">
        <v>94</v>
      </c>
      <c r="D81" s="49" t="s">
        <v>94</v>
      </c>
      <c r="E81" s="49" t="s">
        <v>94</v>
      </c>
      <c r="F81" s="49" t="s">
        <v>94</v>
      </c>
    </row>
    <row r="82" spans="2:6" ht="15.75" thickBot="1" x14ac:dyDescent="0.3">
      <c r="B82" s="21" t="s">
        <v>72</v>
      </c>
      <c r="C82" s="18" t="s">
        <v>37</v>
      </c>
      <c r="D82" s="18" t="s">
        <v>37</v>
      </c>
      <c r="E82" s="18" t="s">
        <v>37</v>
      </c>
      <c r="F82" s="18" t="s">
        <v>37</v>
      </c>
    </row>
    <row r="83" spans="2:6" ht="15.75" thickBot="1" x14ac:dyDescent="0.3">
      <c r="B83" s="21" t="s">
        <v>71</v>
      </c>
      <c r="C83" s="14">
        <v>1</v>
      </c>
      <c r="D83" s="14">
        <v>3</v>
      </c>
      <c r="E83" s="14">
        <v>5</v>
      </c>
      <c r="F83" s="14">
        <v>6</v>
      </c>
    </row>
    <row r="84" spans="2:6" ht="15.75" thickBot="1" x14ac:dyDescent="0.3">
      <c r="B84" s="21" t="s">
        <v>58</v>
      </c>
      <c r="C84" s="22">
        <v>1.5</v>
      </c>
      <c r="D84" s="22">
        <v>2</v>
      </c>
      <c r="E84" s="22">
        <v>2.5</v>
      </c>
      <c r="F84" s="22">
        <v>3</v>
      </c>
    </row>
    <row r="85" spans="2:6" ht="18" customHeight="1" thickBot="1" x14ac:dyDescent="0.45">
      <c r="B85" s="2">
        <v>1</v>
      </c>
      <c r="C85" s="1">
        <f t="shared" ref="C85:C91" si="5">(ROUND(($F$11*C$84*(VLOOKUP(C$82,$S$13:$T$17,2,FALSE)+MIN(((C$83-3)/20),0.5))*$F$15*$F$16*VLOOKUP(C$81,$D$74:$E$77,2,FALSE)*(1+1/(1+$B85))*$E$67)/1000,0)*1000)/10</f>
        <v>76500</v>
      </c>
      <c r="D85" s="1">
        <f t="shared" ref="D85:D91" si="6">(ROUND(($F$11*D$84*(VLOOKUP(D$82,$S$13:$T$17,2,FALSE)+MIN(((D$83-3)/20),0.5))*$F$15*$F$16*VLOOKUP(D$81,$D$74:$E$77,2,FALSE)*(1+1/(1+$B85))*$E$68)/1000,0)*1000)/10</f>
        <v>124700</v>
      </c>
      <c r="E85" s="1">
        <f t="shared" ref="E85:E91" si="7">(ROUND(($F$11*E$84*(VLOOKUP(E$82,$S$13:$T$17,2,FALSE)+MIN(((E$83-3)/20),0.5))*$F$15*$F$16*VLOOKUP(E$81,$D$74:$E$77,2,FALSE)*(1+1/(1+$B85))*$E$69)/1000,0)*1000)/10</f>
        <v>233900</v>
      </c>
      <c r="F85" s="1">
        <f t="shared" ref="F85:F91" si="8">(ROUND(($F$11*F$84*(VLOOKUP(F$82,$S$13:$T$17,2,FALSE)+MIN(((F$83-3)/20),0.5))*$F$15*$F$16*VLOOKUP(F$81,$D$74:$E$77,2,FALSE)*(1+1/(1+$B85))*$E$70)/1000,0)*1000)/10</f>
        <v>391200</v>
      </c>
    </row>
    <row r="86" spans="2:6" ht="18" customHeight="1" thickBot="1" x14ac:dyDescent="0.45">
      <c r="B86" s="2">
        <v>2</v>
      </c>
      <c r="C86" s="1">
        <f t="shared" si="5"/>
        <v>68000</v>
      </c>
      <c r="D86" s="1">
        <f t="shared" si="6"/>
        <v>110900</v>
      </c>
      <c r="E86" s="1">
        <f t="shared" si="7"/>
        <v>207900</v>
      </c>
      <c r="F86" s="1">
        <f t="shared" si="8"/>
        <v>347800</v>
      </c>
    </row>
    <row r="87" spans="2:6" ht="18" customHeight="1" thickBot="1" x14ac:dyDescent="0.45">
      <c r="B87" s="2">
        <v>3</v>
      </c>
      <c r="C87" s="1">
        <f t="shared" si="5"/>
        <v>63800</v>
      </c>
      <c r="D87" s="1">
        <f t="shared" si="6"/>
        <v>104000</v>
      </c>
      <c r="E87" s="1">
        <f t="shared" si="7"/>
        <v>194900</v>
      </c>
      <c r="F87" s="1">
        <f t="shared" si="8"/>
        <v>326000</v>
      </c>
    </row>
    <row r="88" spans="2:6" ht="18" customHeight="1" thickBot="1" x14ac:dyDescent="0.45">
      <c r="B88" s="2">
        <v>4</v>
      </c>
      <c r="C88" s="1">
        <f t="shared" si="5"/>
        <v>61200</v>
      </c>
      <c r="D88" s="1">
        <f t="shared" si="6"/>
        <v>99800</v>
      </c>
      <c r="E88" s="1">
        <f t="shared" si="7"/>
        <v>187100</v>
      </c>
      <c r="F88" s="1">
        <f t="shared" si="8"/>
        <v>313000</v>
      </c>
    </row>
    <row r="89" spans="2:6" ht="18" customHeight="1" thickBot="1" x14ac:dyDescent="0.45">
      <c r="B89" s="2">
        <v>5</v>
      </c>
      <c r="C89" s="1">
        <f t="shared" si="5"/>
        <v>59500</v>
      </c>
      <c r="D89" s="1">
        <f t="shared" si="6"/>
        <v>97000</v>
      </c>
      <c r="E89" s="1">
        <f t="shared" si="7"/>
        <v>181900</v>
      </c>
      <c r="F89" s="1">
        <f t="shared" si="8"/>
        <v>304300</v>
      </c>
    </row>
    <row r="90" spans="2:6" ht="18" thickBot="1" x14ac:dyDescent="0.45">
      <c r="B90" s="45">
        <v>6</v>
      </c>
      <c r="C90" s="38">
        <f t="shared" si="5"/>
        <v>58300</v>
      </c>
      <c r="D90" s="38">
        <f t="shared" si="6"/>
        <v>95000</v>
      </c>
      <c r="E90" s="38">
        <f t="shared" si="7"/>
        <v>178200</v>
      </c>
      <c r="F90" s="44">
        <f t="shared" si="8"/>
        <v>298100</v>
      </c>
    </row>
    <row r="91" spans="2:6" ht="18" thickBot="1" x14ac:dyDescent="0.45">
      <c r="B91" s="46">
        <v>7</v>
      </c>
      <c r="C91" s="47">
        <f t="shared" si="5"/>
        <v>57400</v>
      </c>
      <c r="D91" s="47">
        <f t="shared" si="6"/>
        <v>93600</v>
      </c>
      <c r="E91" s="47">
        <f t="shared" si="7"/>
        <v>175400</v>
      </c>
      <c r="F91" s="48">
        <f t="shared" si="8"/>
        <v>293400</v>
      </c>
    </row>
  </sheetData>
  <mergeCells count="43">
    <mergeCell ref="D72:E72"/>
    <mergeCell ref="N22:P22"/>
    <mergeCell ref="N26:P26"/>
    <mergeCell ref="B32:E32"/>
    <mergeCell ref="B47:E47"/>
    <mergeCell ref="N21:P21"/>
    <mergeCell ref="B12:D12"/>
    <mergeCell ref="G12:L12"/>
    <mergeCell ref="B13:D13"/>
    <mergeCell ref="G13:L13"/>
    <mergeCell ref="B14:D14"/>
    <mergeCell ref="G14:L14"/>
    <mergeCell ref="B15:D15"/>
    <mergeCell ref="G15:L15"/>
    <mergeCell ref="B16:D16"/>
    <mergeCell ref="G16:L16"/>
    <mergeCell ref="B18:J18"/>
    <mergeCell ref="G9:L9"/>
    <mergeCell ref="B10:D10"/>
    <mergeCell ref="G10:L10"/>
    <mergeCell ref="B11:D11"/>
    <mergeCell ref="G11:L11"/>
    <mergeCell ref="B2:L2"/>
    <mergeCell ref="B3:L3"/>
    <mergeCell ref="B4:D4"/>
    <mergeCell ref="G4:L4"/>
    <mergeCell ref="N4:Q4"/>
    <mergeCell ref="B5:D5"/>
    <mergeCell ref="G5:L5"/>
    <mergeCell ref="B79:F79"/>
    <mergeCell ref="B65:E65"/>
    <mergeCell ref="B66:D66"/>
    <mergeCell ref="B67:D67"/>
    <mergeCell ref="B68:D68"/>
    <mergeCell ref="B69:D69"/>
    <mergeCell ref="B70:D70"/>
    <mergeCell ref="B6:D6"/>
    <mergeCell ref="G6:L6"/>
    <mergeCell ref="B7:D7"/>
    <mergeCell ref="G7:L7"/>
    <mergeCell ref="B8:D8"/>
    <mergeCell ref="G8:L8"/>
    <mergeCell ref="B9:D9"/>
  </mergeCells>
  <dataValidations count="5">
    <dataValidation type="list" allowBlank="1" showInputMessage="1" showErrorMessage="1" sqref="E16">
      <formula1>$V$11:$V$12</formula1>
    </dataValidation>
    <dataValidation type="list" allowBlank="1" showInputMessage="1" showErrorMessage="1" sqref="E15">
      <formula1>$V$6:$V$7</formula1>
    </dataValidation>
    <dataValidation type="list" allowBlank="1" showInputMessage="1" showErrorMessage="1" sqref="E13 C34:E34 C49:E49 C82:F82">
      <formula1>$S$13:$S$17</formula1>
    </dataValidation>
    <dataValidation type="list" allowBlank="1" showInputMessage="1" showErrorMessage="1" sqref="E12">
      <formula1>$S$5:$S$8</formula1>
    </dataValidation>
    <dataValidation type="list" allowBlank="1" showInputMessage="1" showErrorMessage="1" sqref="C81:F81">
      <formula1>$D$74:$D$77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"/>
  <sheetViews>
    <sheetView rightToLeft="1" topLeftCell="A19" zoomScale="95" zoomScaleNormal="95" workbookViewId="0">
      <selection activeCell="K7" sqref="K7"/>
    </sheetView>
  </sheetViews>
  <sheetFormatPr defaultColWidth="8.7109375" defaultRowHeight="24.75" x14ac:dyDescent="0.7"/>
  <cols>
    <col min="1" max="1" width="2.42578125" style="50" customWidth="1"/>
    <col min="2" max="2" width="4.85546875" style="50" hidden="1" customWidth="1"/>
    <col min="3" max="3" width="8.7109375" style="50" hidden="1" customWidth="1"/>
    <col min="4" max="4" width="4.42578125" style="50" hidden="1" customWidth="1"/>
    <col min="5" max="5" width="8.7109375" style="50" hidden="1" customWidth="1"/>
    <col min="6" max="13" width="12.5703125" style="50" customWidth="1"/>
    <col min="14" max="14" width="10" style="50" customWidth="1"/>
    <col min="15" max="15" width="3.140625" style="50" customWidth="1"/>
    <col min="16" max="16" width="13" style="50" customWidth="1"/>
    <col min="17" max="17" width="42.5703125" style="50" customWidth="1"/>
    <col min="18" max="18" width="6" style="50" customWidth="1"/>
    <col min="19" max="16384" width="8.7109375" style="50"/>
  </cols>
  <sheetData>
    <row r="2" spans="6:18" x14ac:dyDescent="0.7">
      <c r="P2" s="109" t="s">
        <v>106</v>
      </c>
      <c r="Q2" s="110"/>
    </row>
    <row r="3" spans="6:18" x14ac:dyDescent="0.7">
      <c r="P3" s="51">
        <v>31500</v>
      </c>
      <c r="Q3" s="52" t="s">
        <v>107</v>
      </c>
    </row>
    <row r="4" spans="6:18" x14ac:dyDescent="0.7">
      <c r="F4" s="53" t="s">
        <v>108</v>
      </c>
      <c r="G4" s="53" t="s">
        <v>109</v>
      </c>
      <c r="H4" s="111" t="s">
        <v>110</v>
      </c>
      <c r="I4" s="112"/>
      <c r="J4" s="113"/>
      <c r="P4" s="51">
        <v>189000</v>
      </c>
      <c r="Q4" s="52" t="s">
        <v>111</v>
      </c>
    </row>
    <row r="5" spans="6:18" x14ac:dyDescent="0.7">
      <c r="F5" s="54">
        <f>ROUND((G5*12)/1000,0)*1000</f>
        <v>939000</v>
      </c>
      <c r="G5" s="54">
        <f>(((P18+2*P22)*P3)/P5+((P20+P22+P24)*P3)/P6)*(P12+P13)+(P4*P8*P10)/P5+(P4*P8*P10)/P6+(P4*P9*P11)/12</f>
        <v>78220.800000000003</v>
      </c>
      <c r="H5" s="114" t="s">
        <v>112</v>
      </c>
      <c r="I5" s="115"/>
      <c r="J5" s="116"/>
      <c r="P5" s="55">
        <v>800</v>
      </c>
      <c r="Q5" s="52" t="s">
        <v>113</v>
      </c>
    </row>
    <row r="6" spans="6:18" x14ac:dyDescent="0.7">
      <c r="F6" s="54">
        <f>ROUND((G6*12)/1000,0)*1000</f>
        <v>1728000</v>
      </c>
      <c r="G6" s="54">
        <f>G5+((P19+2*P22+2*P23)*P3/P7)*(P12+P13)+(P4*P8*P10)/P7</f>
        <v>143992.80000000002</v>
      </c>
      <c r="H6" s="114" t="s">
        <v>114</v>
      </c>
      <c r="I6" s="115"/>
      <c r="J6" s="116"/>
      <c r="P6" s="55">
        <v>2000</v>
      </c>
      <c r="Q6" s="52" t="s">
        <v>115</v>
      </c>
    </row>
    <row r="7" spans="6:18" x14ac:dyDescent="0.7">
      <c r="F7" s="54">
        <f t="shared" ref="F7:F12" si="0">ROUND(G7*12/1000,0)*1000</f>
        <v>913000</v>
      </c>
      <c r="G7" s="54">
        <f>(((P27+1*P31))/P5+((P28+P31+P33))/P6)*(P12+P13)+(P4*P8*P10)/P5+(P4*P8*P10)/P6+(P4*P9*P11)/12</f>
        <v>76097</v>
      </c>
      <c r="H7" s="114" t="s">
        <v>116</v>
      </c>
      <c r="I7" s="115"/>
      <c r="J7" s="116"/>
      <c r="P7" s="55">
        <v>600</v>
      </c>
      <c r="Q7" s="52" t="s">
        <v>117</v>
      </c>
    </row>
    <row r="8" spans="6:18" x14ac:dyDescent="0.7">
      <c r="F8" s="54">
        <f t="shared" si="0"/>
        <v>1483000</v>
      </c>
      <c r="G8" s="54">
        <f>G7+((P28+P31+P32)/P7)*(P12+P13)+(P4*P8*P10)/P7</f>
        <v>123610.33333333334</v>
      </c>
      <c r="H8" s="114" t="s">
        <v>118</v>
      </c>
      <c r="I8" s="115"/>
      <c r="J8" s="116"/>
      <c r="P8" s="55">
        <v>4</v>
      </c>
      <c r="Q8" s="52" t="s">
        <v>119</v>
      </c>
    </row>
    <row r="9" spans="6:18" x14ac:dyDescent="0.7">
      <c r="F9" s="54">
        <f t="shared" si="0"/>
        <v>796000</v>
      </c>
      <c r="G9" s="54">
        <f>((P18*P3)/P5+((P20)*P3)/P6)*(P12+P13)+(P4*P8*P10)/P5+(P4*P8*P10)/P6+(P4*P9*P11)/12</f>
        <v>66339</v>
      </c>
      <c r="H9" s="114" t="s">
        <v>120</v>
      </c>
      <c r="I9" s="115"/>
      <c r="J9" s="116"/>
      <c r="P9" s="55">
        <v>1.5</v>
      </c>
      <c r="Q9" s="52" t="s">
        <v>121</v>
      </c>
    </row>
    <row r="10" spans="6:18" x14ac:dyDescent="0.7">
      <c r="F10" s="54">
        <f t="shared" si="0"/>
        <v>1337000</v>
      </c>
      <c r="G10" s="54">
        <f>G9+(P19*P3/P7)*(P12+P13)+(P4*P8*P10)/P7</f>
        <v>111447</v>
      </c>
      <c r="H10" s="114" t="s">
        <v>122</v>
      </c>
      <c r="I10" s="115"/>
      <c r="J10" s="116"/>
      <c r="P10" s="55">
        <v>3</v>
      </c>
      <c r="Q10" s="52" t="s">
        <v>123</v>
      </c>
    </row>
    <row r="11" spans="6:18" x14ac:dyDescent="0.7">
      <c r="F11" s="54">
        <f t="shared" si="0"/>
        <v>882000</v>
      </c>
      <c r="G11" s="54">
        <f>(((P27))/P5+((P28))/P6)*(P12+P13)+(P4*P8*P10)/P5+(P4*P8*P10)/P6+(P4*P9*P11)/12</f>
        <v>73514</v>
      </c>
      <c r="H11" s="114" t="s">
        <v>124</v>
      </c>
      <c r="I11" s="115"/>
      <c r="J11" s="116"/>
      <c r="P11" s="55">
        <v>1</v>
      </c>
      <c r="Q11" s="52" t="s">
        <v>125</v>
      </c>
    </row>
    <row r="12" spans="6:18" x14ac:dyDescent="0.7">
      <c r="F12" s="54">
        <f t="shared" si="0"/>
        <v>1452000</v>
      </c>
      <c r="G12" s="54">
        <f>G11+(P28/P7)*(P12+P13)+(P4*P8*P10)/P7</f>
        <v>121027.33333333334</v>
      </c>
      <c r="H12" s="114" t="s">
        <v>126</v>
      </c>
      <c r="I12" s="115"/>
      <c r="J12" s="116"/>
      <c r="P12" s="55">
        <v>1.95</v>
      </c>
      <c r="Q12" s="52" t="s">
        <v>127</v>
      </c>
    </row>
    <row r="13" spans="6:18" ht="23.1" customHeight="1" x14ac:dyDescent="0.7">
      <c r="F13" s="117" t="s">
        <v>128</v>
      </c>
      <c r="G13" s="118"/>
      <c r="H13" s="118"/>
      <c r="I13" s="118"/>
      <c r="J13" s="119"/>
      <c r="P13" s="55">
        <v>1.33</v>
      </c>
      <c r="Q13" s="52" t="s">
        <v>129</v>
      </c>
    </row>
    <row r="14" spans="6:18" x14ac:dyDescent="0.7">
      <c r="F14" s="120"/>
      <c r="G14" s="121"/>
      <c r="H14" s="121"/>
      <c r="I14" s="121"/>
      <c r="J14" s="122"/>
      <c r="P14" s="56">
        <v>1</v>
      </c>
      <c r="Q14" s="57" t="s">
        <v>130</v>
      </c>
    </row>
    <row r="15" spans="6:18" x14ac:dyDescent="0.7">
      <c r="F15" s="58" t="s">
        <v>131</v>
      </c>
      <c r="G15" s="58"/>
      <c r="H15" s="58"/>
      <c r="I15" s="59"/>
      <c r="J15" s="59"/>
      <c r="Q15" s="108"/>
      <c r="R15" s="108"/>
    </row>
    <row r="16" spans="6:18" x14ac:dyDescent="0.7">
      <c r="F16" s="98" t="s">
        <v>132</v>
      </c>
      <c r="G16" s="99"/>
      <c r="H16" s="99"/>
      <c r="I16" s="99"/>
      <c r="J16" s="99"/>
      <c r="K16" s="99"/>
      <c r="L16" s="99"/>
      <c r="M16" s="99"/>
      <c r="N16" s="100"/>
      <c r="P16" s="101" t="s">
        <v>133</v>
      </c>
      <c r="Q16" s="102"/>
      <c r="R16" s="60"/>
    </row>
    <row r="17" spans="6:17" ht="25.5" customHeight="1" x14ac:dyDescent="0.7">
      <c r="F17" s="103" t="s">
        <v>134</v>
      </c>
      <c r="G17" s="104"/>
      <c r="H17" s="104"/>
      <c r="I17" s="105"/>
      <c r="J17" s="103" t="s">
        <v>135</v>
      </c>
      <c r="K17" s="104"/>
      <c r="L17" s="104"/>
      <c r="M17" s="105"/>
      <c r="N17" s="106" t="s">
        <v>136</v>
      </c>
      <c r="P17" s="96" t="s">
        <v>137</v>
      </c>
      <c r="Q17" s="97"/>
    </row>
    <row r="18" spans="6:17" x14ac:dyDescent="0.7">
      <c r="F18" s="90" t="s">
        <v>138</v>
      </c>
      <c r="G18" s="92" t="s">
        <v>139</v>
      </c>
      <c r="H18" s="90" t="s">
        <v>140</v>
      </c>
      <c r="I18" s="90" t="s">
        <v>141</v>
      </c>
      <c r="J18" s="90" t="s">
        <v>138</v>
      </c>
      <c r="K18" s="92" t="s">
        <v>139</v>
      </c>
      <c r="L18" s="90" t="s">
        <v>140</v>
      </c>
      <c r="M18" s="90" t="s">
        <v>141</v>
      </c>
      <c r="N18" s="107"/>
      <c r="P18" s="52">
        <v>240</v>
      </c>
      <c r="Q18" s="52" t="s">
        <v>142</v>
      </c>
    </row>
    <row r="19" spans="6:17" x14ac:dyDescent="0.7">
      <c r="F19" s="91"/>
      <c r="G19" s="93"/>
      <c r="H19" s="91"/>
      <c r="I19" s="91"/>
      <c r="J19" s="91"/>
      <c r="K19" s="93"/>
      <c r="L19" s="91"/>
      <c r="M19" s="91"/>
      <c r="N19" s="61" t="s">
        <v>143</v>
      </c>
      <c r="P19" s="52">
        <v>240</v>
      </c>
      <c r="Q19" s="52" t="s">
        <v>144</v>
      </c>
    </row>
    <row r="20" spans="6:17" x14ac:dyDescent="0.7">
      <c r="F20" s="62">
        <f t="shared" ref="F20:F26" si="1">ROUND($F$12*$P$14*(1+1/(1+N20))/1000,0)*1000</f>
        <v>2178000</v>
      </c>
      <c r="G20" s="62">
        <f t="shared" ref="G20:G26" si="2">ROUND($F$11*$P$14*(1+1/(1+N20))/1000,0)*1000</f>
        <v>1323000</v>
      </c>
      <c r="H20" s="62">
        <f t="shared" ref="H20:H26" si="3">ROUND($F$8*$P$14*(1+1/(1+N20))/1000,0)*1000</f>
        <v>2225000</v>
      </c>
      <c r="I20" s="62">
        <f t="shared" ref="I20:I26" si="4">ROUND($F$7*$P$14*(1+1/(1+N20))/1000,0)*1000</f>
        <v>1370000</v>
      </c>
      <c r="J20" s="62">
        <f t="shared" ref="J20:J26" si="5">ROUND($F$10*$P$14*(1+1/(1+N20))/1000,0)*1000</f>
        <v>2006000</v>
      </c>
      <c r="K20" s="62">
        <f t="shared" ref="K20:K26" si="6">ROUND($F$9*$P$14*(1+1/(1+N20))/1000,0)*1000</f>
        <v>1194000</v>
      </c>
      <c r="L20" s="62">
        <f t="shared" ref="L20:L26" si="7">ROUND($F$6*$P$14*(1+1/(1+$N20))/1000,0)*1000</f>
        <v>2592000</v>
      </c>
      <c r="M20" s="62">
        <f t="shared" ref="M20:M26" si="8">ROUND($F$5*$P$14*(1+1/(1+$N20))/1000,0)*1000</f>
        <v>1409000</v>
      </c>
      <c r="N20" s="63">
        <v>1</v>
      </c>
      <c r="P20" s="52">
        <v>150</v>
      </c>
      <c r="Q20" s="52" t="s">
        <v>145</v>
      </c>
    </row>
    <row r="21" spans="6:17" x14ac:dyDescent="0.7">
      <c r="F21" s="62">
        <f t="shared" si="1"/>
        <v>1936000</v>
      </c>
      <c r="G21" s="62">
        <f t="shared" si="2"/>
        <v>1176000</v>
      </c>
      <c r="H21" s="62">
        <f t="shared" si="3"/>
        <v>1977000</v>
      </c>
      <c r="I21" s="62">
        <f t="shared" si="4"/>
        <v>1217000</v>
      </c>
      <c r="J21" s="62">
        <f t="shared" si="5"/>
        <v>1783000</v>
      </c>
      <c r="K21" s="62">
        <f t="shared" si="6"/>
        <v>1061000</v>
      </c>
      <c r="L21" s="62">
        <f t="shared" si="7"/>
        <v>2304000</v>
      </c>
      <c r="M21" s="62">
        <f t="shared" si="8"/>
        <v>1252000</v>
      </c>
      <c r="N21" s="63">
        <v>2</v>
      </c>
      <c r="P21" s="94" t="s">
        <v>146</v>
      </c>
      <c r="Q21" s="95"/>
    </row>
    <row r="22" spans="6:17" x14ac:dyDescent="0.7">
      <c r="F22" s="62">
        <f t="shared" si="1"/>
        <v>1815000</v>
      </c>
      <c r="G22" s="62">
        <f t="shared" si="2"/>
        <v>1103000</v>
      </c>
      <c r="H22" s="62">
        <f t="shared" si="3"/>
        <v>1854000</v>
      </c>
      <c r="I22" s="62">
        <f t="shared" si="4"/>
        <v>1141000</v>
      </c>
      <c r="J22" s="62">
        <f t="shared" si="5"/>
        <v>1671000</v>
      </c>
      <c r="K22" s="62">
        <f t="shared" si="6"/>
        <v>995000</v>
      </c>
      <c r="L22" s="62">
        <f t="shared" si="7"/>
        <v>2160000</v>
      </c>
      <c r="M22" s="62">
        <f t="shared" si="8"/>
        <v>1174000</v>
      </c>
      <c r="N22" s="63">
        <v>3</v>
      </c>
      <c r="P22" s="52">
        <v>30</v>
      </c>
      <c r="Q22" s="52" t="s">
        <v>147</v>
      </c>
    </row>
    <row r="23" spans="6:17" x14ac:dyDescent="0.7">
      <c r="F23" s="62">
        <f t="shared" si="1"/>
        <v>1742000</v>
      </c>
      <c r="G23" s="62">
        <f t="shared" si="2"/>
        <v>1058000</v>
      </c>
      <c r="H23" s="62">
        <f t="shared" si="3"/>
        <v>1780000</v>
      </c>
      <c r="I23" s="62">
        <f t="shared" si="4"/>
        <v>1096000</v>
      </c>
      <c r="J23" s="62">
        <f t="shared" si="5"/>
        <v>1604000</v>
      </c>
      <c r="K23" s="62">
        <f t="shared" si="6"/>
        <v>955000</v>
      </c>
      <c r="L23" s="62">
        <f t="shared" si="7"/>
        <v>2074000</v>
      </c>
      <c r="M23" s="62">
        <f t="shared" si="8"/>
        <v>1127000</v>
      </c>
      <c r="N23" s="63">
        <v>4</v>
      </c>
      <c r="P23" s="52">
        <v>30</v>
      </c>
      <c r="Q23" s="52" t="s">
        <v>148</v>
      </c>
    </row>
    <row r="24" spans="6:17" x14ac:dyDescent="0.7">
      <c r="F24" s="62">
        <f t="shared" si="1"/>
        <v>1694000</v>
      </c>
      <c r="G24" s="62">
        <f t="shared" si="2"/>
        <v>1029000</v>
      </c>
      <c r="H24" s="62">
        <f t="shared" si="3"/>
        <v>1730000</v>
      </c>
      <c r="I24" s="62">
        <f t="shared" si="4"/>
        <v>1065000</v>
      </c>
      <c r="J24" s="62">
        <f t="shared" si="5"/>
        <v>1560000</v>
      </c>
      <c r="K24" s="62">
        <f t="shared" si="6"/>
        <v>929000</v>
      </c>
      <c r="L24" s="62">
        <f t="shared" si="7"/>
        <v>2016000</v>
      </c>
      <c r="M24" s="62">
        <f t="shared" si="8"/>
        <v>1096000</v>
      </c>
      <c r="N24" s="63">
        <v>5</v>
      </c>
      <c r="P24" s="52">
        <v>50</v>
      </c>
      <c r="Q24" s="52" t="s">
        <v>149</v>
      </c>
    </row>
    <row r="25" spans="6:17" x14ac:dyDescent="0.7">
      <c r="F25" s="62">
        <f t="shared" si="1"/>
        <v>1659000</v>
      </c>
      <c r="G25" s="62">
        <f t="shared" si="2"/>
        <v>1008000</v>
      </c>
      <c r="H25" s="62">
        <f t="shared" si="3"/>
        <v>1695000</v>
      </c>
      <c r="I25" s="62">
        <f t="shared" si="4"/>
        <v>1043000</v>
      </c>
      <c r="J25" s="62">
        <f t="shared" si="5"/>
        <v>1528000</v>
      </c>
      <c r="K25" s="62">
        <f t="shared" si="6"/>
        <v>910000</v>
      </c>
      <c r="L25" s="62">
        <f t="shared" si="7"/>
        <v>1975000</v>
      </c>
      <c r="M25" s="62">
        <f t="shared" si="8"/>
        <v>1073000</v>
      </c>
      <c r="N25" s="63">
        <v>6</v>
      </c>
      <c r="P25" s="52">
        <v>0</v>
      </c>
      <c r="Q25" s="52" t="s">
        <v>150</v>
      </c>
    </row>
    <row r="26" spans="6:17" x14ac:dyDescent="0.7">
      <c r="F26" s="62">
        <f t="shared" si="1"/>
        <v>1634000</v>
      </c>
      <c r="G26" s="62">
        <f t="shared" si="2"/>
        <v>992000</v>
      </c>
      <c r="H26" s="62">
        <f t="shared" si="3"/>
        <v>1668000</v>
      </c>
      <c r="I26" s="62">
        <f t="shared" si="4"/>
        <v>1027000</v>
      </c>
      <c r="J26" s="62">
        <f t="shared" si="5"/>
        <v>1504000</v>
      </c>
      <c r="K26" s="62">
        <f t="shared" si="6"/>
        <v>896000</v>
      </c>
      <c r="L26" s="62">
        <f t="shared" si="7"/>
        <v>1944000</v>
      </c>
      <c r="M26" s="62">
        <f t="shared" si="8"/>
        <v>1056000</v>
      </c>
      <c r="N26" s="63">
        <v>7</v>
      </c>
      <c r="P26" s="96" t="s">
        <v>151</v>
      </c>
      <c r="Q26" s="97"/>
    </row>
    <row r="27" spans="6:17" x14ac:dyDescent="0.7">
      <c r="P27" s="64">
        <v>8000000</v>
      </c>
      <c r="Q27" s="52" t="s">
        <v>142</v>
      </c>
    </row>
    <row r="28" spans="6:17" x14ac:dyDescent="0.7">
      <c r="H28" s="98" t="s">
        <v>152</v>
      </c>
      <c r="I28" s="99"/>
      <c r="J28" s="99"/>
      <c r="K28" s="100"/>
      <c r="P28" s="64">
        <v>8000000</v>
      </c>
      <c r="Q28" s="52" t="s">
        <v>153</v>
      </c>
    </row>
    <row r="29" spans="6:17" x14ac:dyDescent="0.7">
      <c r="H29" s="90" t="s">
        <v>154</v>
      </c>
      <c r="I29" s="90" t="s">
        <v>155</v>
      </c>
      <c r="J29" s="90" t="s">
        <v>156</v>
      </c>
      <c r="K29" s="61" t="s">
        <v>157</v>
      </c>
      <c r="P29" s="64">
        <v>5000000</v>
      </c>
      <c r="Q29" s="52" t="s">
        <v>158</v>
      </c>
    </row>
    <row r="30" spans="6:17" ht="23.1" customHeight="1" x14ac:dyDescent="0.7">
      <c r="H30" s="91"/>
      <c r="I30" s="91"/>
      <c r="J30" s="91"/>
      <c r="K30" s="61" t="s">
        <v>159</v>
      </c>
      <c r="P30" s="96" t="s">
        <v>160</v>
      </c>
      <c r="Q30" s="97"/>
    </row>
    <row r="31" spans="6:17" x14ac:dyDescent="0.7">
      <c r="H31" s="62">
        <f t="shared" ref="H31:H37" si="9">ROUND($P$37*($P$12+$P$13)*(1+1/(1+$K31))*$P$14/1000,0)*1000</f>
        <v>148000</v>
      </c>
      <c r="I31" s="62">
        <f t="shared" ref="I31:I37" si="10">ROUND($P$36*($P$12+$P$13)*(1+1/(1+$K31))*$P$14/1000,0)*1000</f>
        <v>197000</v>
      </c>
      <c r="J31" s="62">
        <f t="shared" ref="J31:J37" si="11">ROUND($P$35*$P$3*($P$12+$P$13)*$P$14*(1+1/(1+$K31))/1000,0)*1000</f>
        <v>1300000</v>
      </c>
      <c r="K31" s="63">
        <v>1</v>
      </c>
      <c r="L31" s="60"/>
      <c r="P31" s="52">
        <v>0</v>
      </c>
      <c r="Q31" s="52" t="s">
        <v>147</v>
      </c>
    </row>
    <row r="32" spans="6:17" x14ac:dyDescent="0.7">
      <c r="H32" s="62">
        <f t="shared" si="9"/>
        <v>131000</v>
      </c>
      <c r="I32" s="62">
        <f t="shared" si="10"/>
        <v>175000</v>
      </c>
      <c r="J32" s="62">
        <f t="shared" si="11"/>
        <v>1156000</v>
      </c>
      <c r="K32" s="63">
        <v>2</v>
      </c>
      <c r="P32" s="52">
        <v>0</v>
      </c>
      <c r="Q32" s="52" t="s">
        <v>148</v>
      </c>
    </row>
    <row r="33" spans="8:18" x14ac:dyDescent="0.7">
      <c r="H33" s="62">
        <f t="shared" si="9"/>
        <v>123000</v>
      </c>
      <c r="I33" s="62">
        <f t="shared" si="10"/>
        <v>164000</v>
      </c>
      <c r="J33" s="62">
        <f t="shared" si="11"/>
        <v>1084000</v>
      </c>
      <c r="K33" s="63">
        <v>3</v>
      </c>
      <c r="P33" s="64">
        <f>50*P3</f>
        <v>1575000</v>
      </c>
      <c r="Q33" s="52" t="s">
        <v>149</v>
      </c>
      <c r="R33" s="60"/>
    </row>
    <row r="34" spans="8:18" x14ac:dyDescent="0.7">
      <c r="H34" s="62">
        <f t="shared" si="9"/>
        <v>118000</v>
      </c>
      <c r="I34" s="62">
        <f t="shared" si="10"/>
        <v>157000</v>
      </c>
      <c r="J34" s="62">
        <f t="shared" si="11"/>
        <v>1040000</v>
      </c>
      <c r="K34" s="63">
        <v>4</v>
      </c>
      <c r="P34" s="89" t="s">
        <v>161</v>
      </c>
      <c r="Q34" s="89"/>
    </row>
    <row r="35" spans="8:18" x14ac:dyDescent="0.7">
      <c r="H35" s="62">
        <f t="shared" si="9"/>
        <v>115000</v>
      </c>
      <c r="I35" s="62">
        <f t="shared" si="10"/>
        <v>153000</v>
      </c>
      <c r="J35" s="62">
        <f t="shared" si="11"/>
        <v>1011000</v>
      </c>
      <c r="K35" s="63">
        <v>5</v>
      </c>
      <c r="P35" s="52">
        <v>8.39</v>
      </c>
      <c r="Q35" s="52" t="s">
        <v>162</v>
      </c>
    </row>
    <row r="36" spans="8:18" x14ac:dyDescent="0.7">
      <c r="H36" s="62">
        <f t="shared" si="9"/>
        <v>112000</v>
      </c>
      <c r="I36" s="62">
        <f t="shared" si="10"/>
        <v>150000</v>
      </c>
      <c r="J36" s="62">
        <f t="shared" si="11"/>
        <v>991000</v>
      </c>
      <c r="K36" s="63">
        <v>6</v>
      </c>
      <c r="P36" s="52">
        <v>40000</v>
      </c>
      <c r="Q36" s="52" t="s">
        <v>163</v>
      </c>
    </row>
    <row r="37" spans="8:18" x14ac:dyDescent="0.7">
      <c r="H37" s="62">
        <f t="shared" si="9"/>
        <v>111000</v>
      </c>
      <c r="I37" s="62">
        <f t="shared" si="10"/>
        <v>148000</v>
      </c>
      <c r="J37" s="65">
        <f t="shared" si="11"/>
        <v>975000</v>
      </c>
      <c r="K37" s="63">
        <v>7</v>
      </c>
      <c r="P37" s="52">
        <v>30000</v>
      </c>
      <c r="Q37" s="52" t="s">
        <v>164</v>
      </c>
    </row>
  </sheetData>
  <sheetProtection selectLockedCells="1"/>
  <mergeCells count="34">
    <mergeCell ref="Q15:R15"/>
    <mergeCell ref="P2:Q2"/>
    <mergeCell ref="H4:J4"/>
    <mergeCell ref="H5:J5"/>
    <mergeCell ref="H6:J6"/>
    <mergeCell ref="H7:J7"/>
    <mergeCell ref="H8:J8"/>
    <mergeCell ref="H9:J9"/>
    <mergeCell ref="H10:J10"/>
    <mergeCell ref="H11:J11"/>
    <mergeCell ref="H12:J12"/>
    <mergeCell ref="F13:J14"/>
    <mergeCell ref="F16:N16"/>
    <mergeCell ref="P16:Q16"/>
    <mergeCell ref="F17:I17"/>
    <mergeCell ref="J17:M17"/>
    <mergeCell ref="N17:N18"/>
    <mergeCell ref="P17:Q17"/>
    <mergeCell ref="F18:F19"/>
    <mergeCell ref="G18:G19"/>
    <mergeCell ref="H18:H19"/>
    <mergeCell ref="I18:I19"/>
    <mergeCell ref="P34:Q34"/>
    <mergeCell ref="J18:J19"/>
    <mergeCell ref="K18:K19"/>
    <mergeCell ref="L18:L19"/>
    <mergeCell ref="M18:M19"/>
    <mergeCell ref="P21:Q21"/>
    <mergeCell ref="P26:Q26"/>
    <mergeCell ref="H28:K28"/>
    <mergeCell ref="H29:H30"/>
    <mergeCell ref="I29:I30"/>
    <mergeCell ref="J29:J30"/>
    <mergeCell ref="P30:Q3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Tarefeh 93-06-13</vt:lpstr>
      <vt:lpstr>محاسبه قیمت خدمات میزبانی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2014-09-04T04:48:45Z</dcterms:modified>
</cp:coreProperties>
</file>