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00025134\pc\py\sagawa\"/>
    </mc:Choice>
  </mc:AlternateContent>
  <xr:revisionPtr revIDLastSave="0" documentId="10_ncr:100000_{F46E3465-B346-4638-9406-C7145824368C}" xr6:coauthVersionLast="31" xr6:coauthVersionMax="31" xr10:uidLastSave="{00000000-0000-0000-0000-000000000000}"/>
  <bookViews>
    <workbookView xWindow="480" yWindow="60" windowWidth="18135" windowHeight="12345" activeTab="2" xr2:uid="{00000000-000D-0000-FFFF-FFFF00000000}"/>
  </bookViews>
  <sheets>
    <sheet name="鉛直" sheetId="1" r:id="rId1"/>
    <sheet name="水平" sheetId="2" r:id="rId2"/>
    <sheet name="L" sheetId="3" r:id="rId3"/>
    <sheet name="L+Ex" sheetId="4" r:id="rId4"/>
    <sheet name="L-Ex" sheetId="5" r:id="rId5"/>
    <sheet name="L+Ey" sheetId="6" r:id="rId6"/>
    <sheet name="L-Ey" sheetId="7" r:id="rId7"/>
    <sheet name="水平 X" sheetId="8" r:id="rId8"/>
    <sheet name="水平 Y" sheetId="9" r:id="rId9"/>
    <sheet name="Sheet3" sheetId="10" r:id="rId10"/>
    <sheet name="Sheet1" sheetId="11" r:id="rId11"/>
    <sheet name="Sheet2" sheetId="12" r:id="rId12"/>
  </sheets>
  <externalReferences>
    <externalReference r:id="rId13"/>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79017"/>
</workbook>
</file>

<file path=xl/calcChain.xml><?xml version="1.0" encoding="utf-8"?>
<calcChain xmlns="http://schemas.openxmlformats.org/spreadsheetml/2006/main">
  <c r="E17" i="3" l="1"/>
  <c r="N38" i="12"/>
  <c r="P38" i="12" s="1"/>
  <c r="S38" i="12" s="1"/>
  <c r="M38" i="12"/>
  <c r="P26" i="12"/>
  <c r="Q26" i="12" s="1"/>
  <c r="R26" i="12" s="1"/>
  <c r="O26" i="12"/>
  <c r="N26" i="12"/>
  <c r="K9" i="12"/>
  <c r="G9" i="12"/>
  <c r="L9" i="12" s="1"/>
  <c r="Q43" i="11"/>
  <c r="Q42" i="11"/>
  <c r="P42" i="11"/>
  <c r="J42" i="11"/>
  <c r="L42" i="11" s="1"/>
  <c r="P41" i="11"/>
  <c r="Q41" i="11" s="1"/>
  <c r="J41" i="11"/>
  <c r="L41" i="11" s="1"/>
  <c r="P40" i="11"/>
  <c r="Q40" i="11" s="1"/>
  <c r="J40" i="11"/>
  <c r="L40" i="11" s="1"/>
  <c r="Q39" i="11"/>
  <c r="P39" i="11"/>
  <c r="L39" i="11"/>
  <c r="J39" i="11"/>
  <c r="Q38" i="11"/>
  <c r="R38" i="11" s="1"/>
  <c r="P38" i="11"/>
  <c r="P37" i="11"/>
  <c r="Q37" i="11" s="1"/>
  <c r="J37" i="11"/>
  <c r="L37" i="11" s="1"/>
  <c r="P36" i="11"/>
  <c r="Q36" i="11" s="1"/>
  <c r="J36" i="11"/>
  <c r="L36" i="11" s="1"/>
  <c r="P35" i="11"/>
  <c r="Q35" i="11" s="1"/>
  <c r="L35" i="11"/>
  <c r="J35" i="11"/>
  <c r="Q34" i="11"/>
  <c r="P34" i="11"/>
  <c r="L34" i="11"/>
  <c r="J34" i="11"/>
  <c r="P33" i="11"/>
  <c r="Q33" i="11" s="1"/>
  <c r="P32" i="11"/>
  <c r="Q32" i="11" s="1"/>
  <c r="P31" i="11"/>
  <c r="Q31" i="11" s="1"/>
  <c r="J31" i="11"/>
  <c r="L31" i="11" s="1"/>
  <c r="P30" i="11"/>
  <c r="Q30" i="11" s="1"/>
  <c r="J30" i="11"/>
  <c r="L30" i="11" s="1"/>
  <c r="P29" i="11"/>
  <c r="Q29" i="11" s="1"/>
  <c r="J29" i="11"/>
  <c r="L29" i="11" s="1"/>
  <c r="Q28" i="11"/>
  <c r="P28" i="11"/>
  <c r="L28" i="11"/>
  <c r="J28" i="11"/>
  <c r="P27" i="11"/>
  <c r="Q27" i="11" s="1"/>
  <c r="P26" i="11"/>
  <c r="Q26" i="11" s="1"/>
  <c r="J26" i="11"/>
  <c r="L26" i="11" s="1"/>
  <c r="Q25" i="11"/>
  <c r="P25" i="11"/>
  <c r="L25" i="11"/>
  <c r="J25" i="11"/>
  <c r="P24" i="11"/>
  <c r="Q24" i="11" s="1"/>
  <c r="J24" i="11"/>
  <c r="L24" i="11" s="1"/>
  <c r="P23" i="11"/>
  <c r="Q23" i="11" s="1"/>
  <c r="J23" i="11"/>
  <c r="L23" i="11" s="1"/>
  <c r="P22" i="11"/>
  <c r="Q22" i="11" s="1"/>
  <c r="P21" i="11"/>
  <c r="Q21" i="11" s="1"/>
  <c r="J21" i="11"/>
  <c r="L21" i="11" s="1"/>
  <c r="P20" i="11"/>
  <c r="Q20" i="11" s="1"/>
  <c r="J20" i="11"/>
  <c r="L20" i="11" s="1"/>
  <c r="P19" i="11"/>
  <c r="Q19" i="11" s="1"/>
  <c r="J19" i="11"/>
  <c r="L19" i="11" s="1"/>
  <c r="Q18" i="11"/>
  <c r="R18" i="11" s="1"/>
  <c r="P18" i="11"/>
  <c r="J18" i="11"/>
  <c r="L18" i="11" s="1"/>
  <c r="Q44" i="10"/>
  <c r="P44" i="10" s="1"/>
  <c r="M44" i="10"/>
  <c r="Q43" i="10"/>
  <c r="P43" i="10" s="1"/>
  <c r="M43" i="10"/>
  <c r="Q42" i="10"/>
  <c r="P42" i="10" s="1"/>
  <c r="M42" i="10"/>
  <c r="Q41" i="10"/>
  <c r="P41" i="10" s="1"/>
  <c r="M41" i="10"/>
  <c r="Q40" i="10"/>
  <c r="P40" i="10" s="1"/>
  <c r="M40" i="10"/>
  <c r="Q39" i="10"/>
  <c r="P39" i="10" s="1"/>
  <c r="M39" i="10"/>
  <c r="Q38" i="10"/>
  <c r="P38" i="10" s="1"/>
  <c r="M38" i="10"/>
  <c r="Q37" i="10"/>
  <c r="P37" i="10" s="1"/>
  <c r="M37" i="10"/>
  <c r="Q36" i="10"/>
  <c r="P36" i="10" s="1"/>
  <c r="M36" i="10"/>
  <c r="Q35" i="10"/>
  <c r="P35" i="10" s="1"/>
  <c r="M35" i="10"/>
  <c r="Q34" i="10"/>
  <c r="P34" i="10" s="1"/>
  <c r="M34" i="10"/>
  <c r="Q33" i="10"/>
  <c r="P33" i="10" s="1"/>
  <c r="M33" i="10"/>
  <c r="Q32" i="10"/>
  <c r="P32" i="10" s="1"/>
  <c r="M32" i="10"/>
  <c r="Q31" i="10"/>
  <c r="P31" i="10" s="1"/>
  <c r="M31" i="10"/>
  <c r="Q30" i="10"/>
  <c r="P30" i="10" s="1"/>
  <c r="M30" i="10"/>
  <c r="Q29" i="10"/>
  <c r="P29" i="10" s="1"/>
  <c r="M29" i="10"/>
  <c r="Q28" i="10"/>
  <c r="P28" i="10" s="1"/>
  <c r="M28" i="10"/>
  <c r="Q27" i="10"/>
  <c r="P27" i="10" s="1"/>
  <c r="M27" i="10"/>
  <c r="Q26" i="10"/>
  <c r="P26" i="10" s="1"/>
  <c r="M26" i="10"/>
  <c r="Q25" i="10"/>
  <c r="P25" i="10" s="1"/>
  <c r="M25" i="10"/>
  <c r="Q24" i="10"/>
  <c r="P24" i="10" s="1"/>
  <c r="M24" i="10"/>
  <c r="Q23" i="10"/>
  <c r="P23" i="10" s="1"/>
  <c r="M23" i="10"/>
  <c r="Q22" i="10"/>
  <c r="P22" i="10" s="1"/>
  <c r="M22" i="10"/>
  <c r="Q21" i="10"/>
  <c r="P21" i="10" s="1"/>
  <c r="M21" i="10"/>
  <c r="Q20" i="10"/>
  <c r="P20" i="10" s="1"/>
  <c r="M20" i="10"/>
  <c r="Q19" i="10"/>
  <c r="P19" i="10" s="1"/>
  <c r="M19" i="10"/>
  <c r="Q18" i="10"/>
  <c r="P18" i="10" s="1"/>
  <c r="Q17" i="10"/>
  <c r="O17" i="10" s="1"/>
  <c r="P17" i="10"/>
  <c r="Q16" i="10"/>
  <c r="P16" i="10"/>
  <c r="O16" i="10"/>
  <c r="Q15" i="10"/>
  <c r="P15" i="10" s="1"/>
  <c r="O15" i="10"/>
  <c r="Q14" i="10"/>
  <c r="P14" i="10" s="1"/>
  <c r="Q13" i="10"/>
  <c r="Q12" i="10"/>
  <c r="P12" i="10"/>
  <c r="O12" i="10"/>
  <c r="Q11" i="10"/>
  <c r="P11" i="10"/>
  <c r="O11" i="10"/>
  <c r="Q10" i="10"/>
  <c r="P10" i="10" s="1"/>
  <c r="Q9" i="10"/>
  <c r="O9" i="10" s="1"/>
  <c r="P9" i="10"/>
  <c r="Q8" i="10"/>
  <c r="P8" i="10"/>
  <c r="O8" i="10"/>
  <c r="Q7" i="10"/>
  <c r="P7" i="10" s="1"/>
  <c r="O7" i="10"/>
  <c r="Q6" i="10"/>
  <c r="P6" i="10" s="1"/>
  <c r="Q5" i="10"/>
  <c r="Q4" i="10"/>
  <c r="P4" i="10"/>
  <c r="AK58" i="9"/>
  <c r="AJ58" i="9"/>
  <c r="AI58" i="9"/>
  <c r="AH58" i="9"/>
  <c r="AF58" i="9"/>
  <c r="AE58" i="9"/>
  <c r="AD58" i="9"/>
  <c r="AC58" i="9"/>
  <c r="AA58" i="9"/>
  <c r="Z58" i="9"/>
  <c r="Y58" i="9"/>
  <c r="X58" i="9"/>
  <c r="V58" i="9"/>
  <c r="U58" i="9"/>
  <c r="T58" i="9"/>
  <c r="S58" i="9"/>
  <c r="Q58" i="9"/>
  <c r="P58" i="9"/>
  <c r="O58" i="9"/>
  <c r="N58" i="9"/>
  <c r="AC56" i="9"/>
  <c r="AH53" i="9"/>
  <c r="AC53" i="9"/>
  <c r="X53" i="9"/>
  <c r="N53" i="9"/>
  <c r="AJ51" i="9"/>
  <c r="AH51" i="9"/>
  <c r="AK47" i="9"/>
  <c r="AJ47" i="9"/>
  <c r="AI47" i="9"/>
  <c r="AH47" i="9"/>
  <c r="AF47" i="9"/>
  <c r="AE47" i="9"/>
  <c r="AD47" i="9"/>
  <c r="AC47" i="9"/>
  <c r="AA47" i="9"/>
  <c r="Z47" i="9"/>
  <c r="Y47" i="9"/>
  <c r="X47" i="9"/>
  <c r="V47" i="9"/>
  <c r="U47" i="9"/>
  <c r="T47" i="9"/>
  <c r="S47" i="9"/>
  <c r="Q47" i="9"/>
  <c r="P47" i="9"/>
  <c r="O47" i="9"/>
  <c r="N47" i="9"/>
  <c r="Q43" i="9"/>
  <c r="P43" i="9"/>
  <c r="O43" i="9"/>
  <c r="N43" i="9"/>
  <c r="AK41" i="9"/>
  <c r="AJ41" i="9"/>
  <c r="AI41" i="9"/>
  <c r="AH41" i="9"/>
  <c r="AF41" i="9"/>
  <c r="AE41" i="9"/>
  <c r="AD41" i="9"/>
  <c r="AC41" i="9"/>
  <c r="AA41" i="9"/>
  <c r="Z41" i="9"/>
  <c r="Y41" i="9"/>
  <c r="X41" i="9"/>
  <c r="V41" i="9"/>
  <c r="U41" i="9"/>
  <c r="T41" i="9"/>
  <c r="S41" i="9"/>
  <c r="Q41" i="9"/>
  <c r="P41" i="9"/>
  <c r="AH40" i="9"/>
  <c r="AC40" i="9"/>
  <c r="X40" i="9"/>
  <c r="N40" i="9"/>
  <c r="AJ39" i="9"/>
  <c r="AI39" i="9"/>
  <c r="AE39" i="9"/>
  <c r="AE40" i="9" s="1"/>
  <c r="AD39" i="9"/>
  <c r="AD53" i="9" s="1"/>
  <c r="Y39" i="9"/>
  <c r="O39" i="9"/>
  <c r="AF36" i="9"/>
  <c r="AA33" i="9"/>
  <c r="AK32" i="9"/>
  <c r="AJ32" i="9"/>
  <c r="AI32" i="9"/>
  <c r="AH32" i="9"/>
  <c r="AF32" i="9"/>
  <c r="AE32" i="9"/>
  <c r="AD32" i="9"/>
  <c r="AC32" i="9"/>
  <c r="AA32" i="9"/>
  <c r="Z32" i="9"/>
  <c r="Y32" i="9"/>
  <c r="X32" i="9"/>
  <c r="V32" i="9"/>
  <c r="U32" i="9"/>
  <c r="T32" i="9"/>
  <c r="S32" i="9"/>
  <c r="Q32" i="9"/>
  <c r="P32" i="9"/>
  <c r="O32" i="9"/>
  <c r="N32" i="9"/>
  <c r="AK31" i="9"/>
  <c r="AJ31" i="9"/>
  <c r="AC31" i="9"/>
  <c r="AA31" i="9"/>
  <c r="Z31" i="9"/>
  <c r="S31" i="9"/>
  <c r="Q31" i="9"/>
  <c r="Q35" i="9" s="1"/>
  <c r="Q37" i="9" s="1"/>
  <c r="Q38" i="9" s="1"/>
  <c r="P31" i="9"/>
  <c r="AK30" i="9"/>
  <c r="AK36" i="9" s="1"/>
  <c r="AJ30" i="9"/>
  <c r="AJ36" i="9" s="1"/>
  <c r="AI30" i="9"/>
  <c r="AI31" i="9" s="1"/>
  <c r="AH30" i="9"/>
  <c r="AH31" i="9" s="1"/>
  <c r="AF30" i="9"/>
  <c r="AF31" i="9" s="1"/>
  <c r="AE30" i="9"/>
  <c r="AE36" i="9" s="1"/>
  <c r="AD30" i="9"/>
  <c r="AD36" i="9" s="1"/>
  <c r="AC30" i="9"/>
  <c r="AC36" i="9" s="1"/>
  <c r="AA30" i="9"/>
  <c r="AA36" i="9" s="1"/>
  <c r="Z30" i="9"/>
  <c r="Z36" i="9" s="1"/>
  <c r="Y30" i="9"/>
  <c r="Y31" i="9" s="1"/>
  <c r="X30" i="9"/>
  <c r="X31" i="9" s="1"/>
  <c r="V30" i="9"/>
  <c r="V31" i="9" s="1"/>
  <c r="U30" i="9"/>
  <c r="U36" i="9" s="1"/>
  <c r="T30" i="9"/>
  <c r="T36" i="9" s="1"/>
  <c r="S30" i="9"/>
  <c r="S36" i="9" s="1"/>
  <c r="Q30" i="9"/>
  <c r="Q36" i="9" s="1"/>
  <c r="P30" i="9"/>
  <c r="P36" i="9" s="1"/>
  <c r="O30" i="9"/>
  <c r="O31" i="9" s="1"/>
  <c r="N30" i="9"/>
  <c r="N31" i="9" s="1"/>
  <c r="AK27" i="9"/>
  <c r="AA27" i="9"/>
  <c r="Q27" i="9"/>
  <c r="Q26" i="9"/>
  <c r="P26" i="9"/>
  <c r="O26" i="9"/>
  <c r="O41" i="9" s="1"/>
  <c r="N26" i="9"/>
  <c r="N41" i="9" s="1"/>
  <c r="AK25" i="9"/>
  <c r="AK33" i="9" s="1"/>
  <c r="AK34" i="9" s="1"/>
  <c r="AJ25" i="9"/>
  <c r="AJ33" i="9" s="1"/>
  <c r="AI25" i="9"/>
  <c r="AI33" i="9" s="1"/>
  <c r="AH25" i="9"/>
  <c r="AH33" i="9" s="1"/>
  <c r="AF25" i="9"/>
  <c r="AF33" i="9" s="1"/>
  <c r="AE25" i="9"/>
  <c r="AE33" i="9" s="1"/>
  <c r="AD25" i="9"/>
  <c r="AD33" i="9" s="1"/>
  <c r="AC25" i="9"/>
  <c r="AC27" i="9" s="1"/>
  <c r="AA25" i="9"/>
  <c r="Z25" i="9"/>
  <c r="Z33" i="9" s="1"/>
  <c r="Y25" i="9"/>
  <c r="Y33" i="9" s="1"/>
  <c r="X25" i="9"/>
  <c r="X33" i="9" s="1"/>
  <c r="V25" i="9"/>
  <c r="V33" i="9" s="1"/>
  <c r="U25" i="9"/>
  <c r="U33" i="9" s="1"/>
  <c r="T25" i="9"/>
  <c r="T33" i="9" s="1"/>
  <c r="S25" i="9"/>
  <c r="S33" i="9" s="1"/>
  <c r="Q25" i="9"/>
  <c r="Q33" i="9" s="1"/>
  <c r="Q34" i="9" s="1"/>
  <c r="P25" i="9"/>
  <c r="P33" i="9" s="1"/>
  <c r="O25" i="9"/>
  <c r="O33" i="9" s="1"/>
  <c r="N25" i="9"/>
  <c r="N33" i="9" s="1"/>
  <c r="AI20" i="9"/>
  <c r="AE20" i="9"/>
  <c r="Z20" i="9"/>
  <c r="Y20" i="9"/>
  <c r="U20" i="9"/>
  <c r="P20" i="9"/>
  <c r="AL19" i="9"/>
  <c r="AL18" i="9"/>
  <c r="Q18" i="9"/>
  <c r="O18" i="9"/>
  <c r="AK17" i="9"/>
  <c r="AK20" i="9" s="1"/>
  <c r="AJ17" i="9"/>
  <c r="AJ20" i="9" s="1"/>
  <c r="AI17" i="9"/>
  <c r="AH17" i="9"/>
  <c r="AH20" i="9" s="1"/>
  <c r="AF17" i="9"/>
  <c r="AF20" i="9" s="1"/>
  <c r="AE17" i="9"/>
  <c r="AD17" i="9"/>
  <c r="AD20" i="9" s="1"/>
  <c r="AC17" i="9"/>
  <c r="AC20" i="9" s="1"/>
  <c r="AA17" i="9"/>
  <c r="AA20" i="9" s="1"/>
  <c r="Z17" i="9"/>
  <c r="Y17" i="9"/>
  <c r="X17" i="9"/>
  <c r="X20" i="9" s="1"/>
  <c r="V17" i="9"/>
  <c r="V20" i="9" s="1"/>
  <c r="U17" i="9"/>
  <c r="T17" i="9"/>
  <c r="T20" i="9" s="1"/>
  <c r="S17" i="9"/>
  <c r="S20" i="9" s="1"/>
  <c r="Q17" i="9"/>
  <c r="Q20" i="9" s="1"/>
  <c r="P17" i="9"/>
  <c r="N17" i="9"/>
  <c r="N20" i="9" s="1"/>
  <c r="AD15" i="9"/>
  <c r="AC15" i="9"/>
  <c r="T15" i="9"/>
  <c r="S15" i="9"/>
  <c r="AK13" i="9"/>
  <c r="AJ13" i="9"/>
  <c r="AJ15" i="9" s="1"/>
  <c r="AI13" i="9"/>
  <c r="AH13" i="9"/>
  <c r="AH15" i="9" s="1"/>
  <c r="AF13" i="9"/>
  <c r="AF51" i="9" s="1"/>
  <c r="AE13" i="9"/>
  <c r="AE51" i="9" s="1"/>
  <c r="AD13" i="9"/>
  <c r="AD51" i="9" s="1"/>
  <c r="AC13" i="9"/>
  <c r="AC51" i="9" s="1"/>
  <c r="AA13" i="9"/>
  <c r="Z13" i="9"/>
  <c r="Y13" i="9"/>
  <c r="X13" i="9"/>
  <c r="X51" i="9" s="1"/>
  <c r="V13" i="9"/>
  <c r="V51" i="9" s="1"/>
  <c r="U13" i="9"/>
  <c r="U51" i="9" s="1"/>
  <c r="T13" i="9"/>
  <c r="T51" i="9" s="1"/>
  <c r="S13" i="9"/>
  <c r="S51" i="9" s="1"/>
  <c r="Q13" i="9"/>
  <c r="P13" i="9"/>
  <c r="O13" i="9"/>
  <c r="N13" i="9"/>
  <c r="N51" i="9" s="1"/>
  <c r="D13" i="9"/>
  <c r="D12" i="9"/>
  <c r="O11" i="9"/>
  <c r="O17" i="9" s="1"/>
  <c r="O20" i="9" s="1"/>
  <c r="L7" i="9"/>
  <c r="L8" i="9" s="1"/>
  <c r="O3" i="9"/>
  <c r="AK58" i="8"/>
  <c r="AJ58" i="8"/>
  <c r="AI58" i="8"/>
  <c r="AH58" i="8"/>
  <c r="AF58" i="8"/>
  <c r="AE58" i="8"/>
  <c r="AD58" i="8"/>
  <c r="AC58" i="8"/>
  <c r="AA58" i="8"/>
  <c r="Z58" i="8"/>
  <c r="Y58" i="8"/>
  <c r="X58" i="8"/>
  <c r="V58" i="8"/>
  <c r="U58" i="8"/>
  <c r="T58" i="8"/>
  <c r="S58" i="8"/>
  <c r="Q58" i="8"/>
  <c r="P58" i="8"/>
  <c r="O58" i="8"/>
  <c r="N58" i="8"/>
  <c r="O56" i="8"/>
  <c r="N56" i="8"/>
  <c r="N53" i="8"/>
  <c r="AC51" i="8"/>
  <c r="AK47" i="8"/>
  <c r="AJ47" i="8"/>
  <c r="AI47" i="8"/>
  <c r="AH47" i="8"/>
  <c r="AF47" i="8"/>
  <c r="AE47" i="8"/>
  <c r="AD47" i="8"/>
  <c r="AC47" i="8"/>
  <c r="AA47" i="8"/>
  <c r="Z47" i="8"/>
  <c r="Y47" i="8"/>
  <c r="X47" i="8"/>
  <c r="V47" i="8"/>
  <c r="U47" i="8"/>
  <c r="T47" i="8"/>
  <c r="S47" i="8"/>
  <c r="Q47" i="8"/>
  <c r="P47" i="8"/>
  <c r="O47" i="8"/>
  <c r="N47" i="8"/>
  <c r="Q43" i="8"/>
  <c r="P43" i="8"/>
  <c r="O43" i="8"/>
  <c r="N43" i="8"/>
  <c r="AK41" i="8"/>
  <c r="AJ41" i="8"/>
  <c r="AI41" i="8"/>
  <c r="AH41" i="8"/>
  <c r="AF41" i="8"/>
  <c r="AE41" i="8"/>
  <c r="AD41" i="8"/>
  <c r="AC41" i="8"/>
  <c r="AA41" i="8"/>
  <c r="Z41" i="8"/>
  <c r="Y41" i="8"/>
  <c r="X41" i="8"/>
  <c r="V41" i="8"/>
  <c r="U41" i="8"/>
  <c r="T41" i="8"/>
  <c r="S41" i="8"/>
  <c r="N40" i="8"/>
  <c r="O39" i="8"/>
  <c r="O53" i="8" s="1"/>
  <c r="AK36" i="8"/>
  <c r="U36" i="8"/>
  <c r="AK32" i="8"/>
  <c r="AJ32" i="8"/>
  <c r="AI32" i="8"/>
  <c r="AH32" i="8"/>
  <c r="AF32" i="8"/>
  <c r="AE32" i="8"/>
  <c r="AD32" i="8"/>
  <c r="AC32" i="8"/>
  <c r="AA32" i="8"/>
  <c r="Z32" i="8"/>
  <c r="Y32" i="8"/>
  <c r="X32" i="8"/>
  <c r="V32" i="8"/>
  <c r="U32" i="8"/>
  <c r="T32" i="8"/>
  <c r="S32" i="8"/>
  <c r="Q32" i="8"/>
  <c r="P32" i="8"/>
  <c r="O32" i="8"/>
  <c r="N32" i="8"/>
  <c r="AJ31" i="8"/>
  <c r="AI31" i="8"/>
  <c r="AF31" i="8"/>
  <c r="AC31" i="8"/>
  <c r="Z31" i="8"/>
  <c r="Y31" i="8"/>
  <c r="V31" i="8"/>
  <c r="S31" i="8"/>
  <c r="P31" i="8"/>
  <c r="O31" i="8"/>
  <c r="AK30" i="8"/>
  <c r="AK31" i="8" s="1"/>
  <c r="AJ30" i="8"/>
  <c r="AJ36" i="8" s="1"/>
  <c r="AI30" i="8"/>
  <c r="AI36" i="8" s="1"/>
  <c r="AH30" i="8"/>
  <c r="AH36" i="8" s="1"/>
  <c r="AF30" i="8"/>
  <c r="AF36" i="8" s="1"/>
  <c r="AE30" i="8"/>
  <c r="AE31" i="8" s="1"/>
  <c r="AD30" i="8"/>
  <c r="AD31" i="8" s="1"/>
  <c r="AC30" i="8"/>
  <c r="AC36" i="8" s="1"/>
  <c r="AA30" i="8"/>
  <c r="AA31" i="8" s="1"/>
  <c r="Z30" i="8"/>
  <c r="Z36" i="8" s="1"/>
  <c r="Y30" i="8"/>
  <c r="Y36" i="8" s="1"/>
  <c r="X30" i="8"/>
  <c r="X36" i="8" s="1"/>
  <c r="V30" i="8"/>
  <c r="V36" i="8" s="1"/>
  <c r="U30" i="8"/>
  <c r="U31" i="8" s="1"/>
  <c r="T30" i="8"/>
  <c r="T31" i="8" s="1"/>
  <c r="S30" i="8"/>
  <c r="S36" i="8" s="1"/>
  <c r="Q30" i="8"/>
  <c r="Q31" i="8" s="1"/>
  <c r="P30" i="8"/>
  <c r="P36" i="8" s="1"/>
  <c r="O30" i="8"/>
  <c r="O36" i="8" s="1"/>
  <c r="N30" i="8"/>
  <c r="N36" i="8" s="1"/>
  <c r="Z27" i="8"/>
  <c r="Q26" i="8"/>
  <c r="Q41" i="8" s="1"/>
  <c r="P26" i="8"/>
  <c r="P41" i="8" s="1"/>
  <c r="O26" i="8"/>
  <c r="O41" i="8" s="1"/>
  <c r="N26" i="8"/>
  <c r="N41" i="8" s="1"/>
  <c r="AK25" i="8"/>
  <c r="AK33" i="8" s="1"/>
  <c r="AJ25" i="8"/>
  <c r="AI25" i="8"/>
  <c r="AI33" i="8" s="1"/>
  <c r="AH25" i="8"/>
  <c r="AH33" i="8" s="1"/>
  <c r="AF25" i="8"/>
  <c r="AF27" i="8" s="1"/>
  <c r="AE25" i="8"/>
  <c r="AE33" i="8" s="1"/>
  <c r="AD25" i="8"/>
  <c r="AD33" i="8" s="1"/>
  <c r="AC25" i="8"/>
  <c r="AC33" i="8" s="1"/>
  <c r="AA25" i="8"/>
  <c r="AA33" i="8" s="1"/>
  <c r="Z25" i="8"/>
  <c r="Z33" i="8" s="1"/>
  <c r="Y25" i="8"/>
  <c r="Y33" i="8" s="1"/>
  <c r="X25" i="8"/>
  <c r="X33" i="8" s="1"/>
  <c r="V25" i="8"/>
  <c r="U25" i="8"/>
  <c r="U33" i="8" s="1"/>
  <c r="T25" i="8"/>
  <c r="T33" i="8" s="1"/>
  <c r="S25" i="8"/>
  <c r="S33" i="8" s="1"/>
  <c r="Q25" i="8"/>
  <c r="Q33" i="8" s="1"/>
  <c r="P25" i="8"/>
  <c r="P27" i="8" s="1"/>
  <c r="O25" i="8"/>
  <c r="O33" i="8" s="1"/>
  <c r="N25" i="8"/>
  <c r="N33" i="8" s="1"/>
  <c r="AH20" i="8"/>
  <c r="AD20" i="8"/>
  <c r="X20" i="8"/>
  <c r="T20" i="8"/>
  <c r="N20" i="8"/>
  <c r="AL19" i="8"/>
  <c r="Q18" i="8"/>
  <c r="P18" i="8"/>
  <c r="AL18" i="8" s="1"/>
  <c r="O18" i="8"/>
  <c r="AK17" i="8"/>
  <c r="AK51" i="8" s="1"/>
  <c r="AJ17" i="8"/>
  <c r="AI17" i="8"/>
  <c r="AI51" i="8" s="1"/>
  <c r="AH17" i="8"/>
  <c r="AH51" i="8" s="1"/>
  <c r="AF17" i="8"/>
  <c r="AE17" i="8"/>
  <c r="AE51" i="8" s="1"/>
  <c r="AD17" i="8"/>
  <c r="AD51" i="8" s="1"/>
  <c r="AC17" i="8"/>
  <c r="AC20" i="8" s="1"/>
  <c r="AA17" i="8"/>
  <c r="AA51" i="8" s="1"/>
  <c r="Z17" i="8"/>
  <c r="Y17" i="8"/>
  <c r="Y51" i="8" s="1"/>
  <c r="X17" i="8"/>
  <c r="X51" i="8" s="1"/>
  <c r="V17" i="8"/>
  <c r="U17" i="8"/>
  <c r="T17" i="8"/>
  <c r="T51" i="8" s="1"/>
  <c r="S17" i="8"/>
  <c r="P17" i="8"/>
  <c r="N17" i="8"/>
  <c r="N51" i="8" s="1"/>
  <c r="AI16" i="8"/>
  <c r="V16" i="8"/>
  <c r="O16" i="8"/>
  <c r="AK15" i="8"/>
  <c r="AJ15" i="8"/>
  <c r="AI15" i="8"/>
  <c r="AH15" i="8"/>
  <c r="AF15" i="8"/>
  <c r="AE15" i="8"/>
  <c r="AD15" i="8"/>
  <c r="AC15" i="8"/>
  <c r="AA15" i="8"/>
  <c r="Z15" i="8"/>
  <c r="Y15" i="8"/>
  <c r="X15" i="8"/>
  <c r="V15" i="8"/>
  <c r="U15" i="8"/>
  <c r="T15" i="8"/>
  <c r="S15" i="8"/>
  <c r="Q15" i="8"/>
  <c r="P15" i="8"/>
  <c r="O15" i="8"/>
  <c r="N15" i="8"/>
  <c r="AL15" i="8" s="1"/>
  <c r="AL13" i="8"/>
  <c r="D13" i="8"/>
  <c r="D12" i="8"/>
  <c r="Q11" i="8"/>
  <c r="Q17" i="8" s="1"/>
  <c r="O11" i="8"/>
  <c r="O17" i="8" s="1"/>
  <c r="L9" i="8"/>
  <c r="L7" i="8"/>
  <c r="L8" i="8" s="1"/>
  <c r="O3" i="8"/>
  <c r="S56" i="7"/>
  <c r="R56" i="7"/>
  <c r="Q56" i="7"/>
  <c r="P56" i="7"/>
  <c r="O56" i="7"/>
  <c r="N56" i="7"/>
  <c r="M56" i="7"/>
  <c r="L56" i="7"/>
  <c r="K56" i="7"/>
  <c r="J56" i="7"/>
  <c r="I56" i="7"/>
  <c r="H56" i="7"/>
  <c r="G56" i="7"/>
  <c r="F56" i="7"/>
  <c r="E56" i="7"/>
  <c r="P54" i="7"/>
  <c r="O54" i="7"/>
  <c r="N54" i="7"/>
  <c r="M54" i="7"/>
  <c r="L54" i="7"/>
  <c r="H54" i="7"/>
  <c r="G54" i="7"/>
  <c r="F54" i="7"/>
  <c r="E54" i="7"/>
  <c r="S51" i="7"/>
  <c r="S54" i="7" s="1"/>
  <c r="R51" i="7"/>
  <c r="R54" i="7" s="1"/>
  <c r="Q51" i="7"/>
  <c r="P51" i="7"/>
  <c r="O51" i="7"/>
  <c r="N51" i="7"/>
  <c r="M51" i="7"/>
  <c r="L51" i="7"/>
  <c r="K51" i="7"/>
  <c r="K54" i="7" s="1"/>
  <c r="J51" i="7"/>
  <c r="J54" i="7" s="1"/>
  <c r="I51" i="7"/>
  <c r="H51" i="7"/>
  <c r="G51" i="7"/>
  <c r="F51" i="7"/>
  <c r="E51" i="7"/>
  <c r="I41" i="7"/>
  <c r="J41" i="7" s="1"/>
  <c r="K41" i="7" s="1"/>
  <c r="L41" i="7" s="1"/>
  <c r="M41" i="7" s="1"/>
  <c r="N41" i="7" s="1"/>
  <c r="O41" i="7" s="1"/>
  <c r="P41" i="7" s="1"/>
  <c r="Q41" i="7" s="1"/>
  <c r="R41" i="7" s="1"/>
  <c r="S41" i="7" s="1"/>
  <c r="H41" i="7"/>
  <c r="G41" i="7"/>
  <c r="F41" i="7"/>
  <c r="E41" i="7"/>
  <c r="S39" i="7"/>
  <c r="R39" i="7"/>
  <c r="Q39" i="7"/>
  <c r="P39" i="7"/>
  <c r="O39" i="7"/>
  <c r="N39" i="7"/>
  <c r="M39" i="7"/>
  <c r="L39" i="7"/>
  <c r="K39" i="7"/>
  <c r="J39" i="7"/>
  <c r="I39" i="7"/>
  <c r="G39" i="7"/>
  <c r="S38" i="7"/>
  <c r="R38" i="7"/>
  <c r="Q38" i="7"/>
  <c r="P38" i="7"/>
  <c r="O38" i="7"/>
  <c r="N38" i="7"/>
  <c r="M38" i="7"/>
  <c r="L38" i="7"/>
  <c r="K38" i="7"/>
  <c r="J38" i="7"/>
  <c r="I38" i="7"/>
  <c r="H38" i="7"/>
  <c r="G38" i="7"/>
  <c r="F38" i="7"/>
  <c r="E38" i="7"/>
  <c r="S34" i="7"/>
  <c r="K34" i="7"/>
  <c r="J34" i="7"/>
  <c r="J31" i="7"/>
  <c r="J32" i="7" s="1"/>
  <c r="S30" i="7"/>
  <c r="R30" i="7"/>
  <c r="Q30" i="7"/>
  <c r="P30" i="7"/>
  <c r="O30" i="7"/>
  <c r="N30" i="7"/>
  <c r="M30" i="7"/>
  <c r="L30" i="7"/>
  <c r="K30" i="7"/>
  <c r="J30" i="7"/>
  <c r="I30" i="7"/>
  <c r="H30" i="7"/>
  <c r="G30" i="7"/>
  <c r="F30" i="7"/>
  <c r="E30" i="7"/>
  <c r="S29" i="7"/>
  <c r="Q29" i="7"/>
  <c r="N29" i="7"/>
  <c r="K29" i="7"/>
  <c r="I29" i="7"/>
  <c r="F29" i="7"/>
  <c r="S28" i="7"/>
  <c r="R28" i="7"/>
  <c r="R29" i="7" s="1"/>
  <c r="Q28" i="7"/>
  <c r="Q34" i="7" s="1"/>
  <c r="P28" i="7"/>
  <c r="P34" i="7" s="1"/>
  <c r="O28" i="7"/>
  <c r="N28" i="7"/>
  <c r="N34" i="7" s="1"/>
  <c r="M28" i="7"/>
  <c r="M34" i="7" s="1"/>
  <c r="L28" i="7"/>
  <c r="K28" i="7"/>
  <c r="J28" i="7"/>
  <c r="J29" i="7" s="1"/>
  <c r="I28" i="7"/>
  <c r="I34" i="7" s="1"/>
  <c r="H28" i="7"/>
  <c r="H34" i="7" s="1"/>
  <c r="G28" i="7"/>
  <c r="F28" i="7"/>
  <c r="F34" i="7" s="1"/>
  <c r="E28" i="7"/>
  <c r="E34" i="7" s="1"/>
  <c r="N25" i="7"/>
  <c r="M25" i="7"/>
  <c r="L25" i="7"/>
  <c r="K25" i="7"/>
  <c r="K32" i="7" s="1"/>
  <c r="I24" i="7"/>
  <c r="H24" i="7"/>
  <c r="H39" i="7" s="1"/>
  <c r="G24" i="7"/>
  <c r="F24" i="7"/>
  <c r="F39" i="7" s="1"/>
  <c r="E24" i="7"/>
  <c r="E39" i="7" s="1"/>
  <c r="S23" i="7"/>
  <c r="S31" i="7" s="1"/>
  <c r="R23" i="7"/>
  <c r="R25" i="7" s="1"/>
  <c r="Q23" i="7"/>
  <c r="Q31" i="7" s="1"/>
  <c r="P23" i="7"/>
  <c r="P25" i="7" s="1"/>
  <c r="O23" i="7"/>
  <c r="O25" i="7" s="1"/>
  <c r="N23" i="7"/>
  <c r="M23" i="7"/>
  <c r="M31" i="7" s="1"/>
  <c r="L23" i="7"/>
  <c r="L31" i="7" s="1"/>
  <c r="K23" i="7"/>
  <c r="K31" i="7" s="1"/>
  <c r="J23" i="7"/>
  <c r="J25" i="7" s="1"/>
  <c r="I23" i="7"/>
  <c r="I31" i="7" s="1"/>
  <c r="H23" i="7"/>
  <c r="G23" i="7"/>
  <c r="G31" i="7" s="1"/>
  <c r="F23" i="7"/>
  <c r="E23" i="7"/>
  <c r="E31" i="7" s="1"/>
  <c r="S19" i="7"/>
  <c r="R19" i="7"/>
  <c r="Q19" i="7"/>
  <c r="P19" i="7"/>
  <c r="O19" i="7"/>
  <c r="N19" i="7"/>
  <c r="M19" i="7"/>
  <c r="L19" i="7"/>
  <c r="K19" i="7"/>
  <c r="J19" i="7"/>
  <c r="I19" i="7"/>
  <c r="H19" i="7"/>
  <c r="G19" i="7"/>
  <c r="F19" i="7"/>
  <c r="E19" i="7"/>
  <c r="E49" i="7" s="1"/>
  <c r="R13" i="7"/>
  <c r="R15" i="7" s="1"/>
  <c r="R49" i="7" s="1"/>
  <c r="P13" i="7"/>
  <c r="O13" i="7"/>
  <c r="N13" i="7"/>
  <c r="M13" i="7"/>
  <c r="L13" i="7"/>
  <c r="J13" i="7"/>
  <c r="H13" i="7"/>
  <c r="G13" i="7"/>
  <c r="G15" i="7" s="1"/>
  <c r="G49" i="7" s="1"/>
  <c r="F13" i="7"/>
  <c r="E13" i="7"/>
  <c r="E12" i="7"/>
  <c r="S13" i="7" s="1"/>
  <c r="H6" i="7"/>
  <c r="H5" i="7"/>
  <c r="D4" i="7"/>
  <c r="D5" i="7" s="1"/>
  <c r="E14" i="7" s="1"/>
  <c r="M15" i="7" s="1"/>
  <c r="M49" i="7" s="1"/>
  <c r="D3" i="7"/>
  <c r="P54" i="6"/>
  <c r="O54" i="6"/>
  <c r="N54" i="6"/>
  <c r="M54" i="6"/>
  <c r="H54" i="6"/>
  <c r="G54" i="6"/>
  <c r="F54" i="6"/>
  <c r="E54" i="6"/>
  <c r="S51" i="6"/>
  <c r="R51" i="6"/>
  <c r="Q51" i="6"/>
  <c r="P51" i="6"/>
  <c r="O51" i="6"/>
  <c r="N51" i="6"/>
  <c r="M51" i="6"/>
  <c r="L51" i="6"/>
  <c r="L54" i="6" s="1"/>
  <c r="K51" i="6"/>
  <c r="J51" i="6"/>
  <c r="I51" i="6"/>
  <c r="H51" i="6"/>
  <c r="G51" i="6"/>
  <c r="F51" i="6"/>
  <c r="E51" i="6"/>
  <c r="R41" i="6"/>
  <c r="S41" i="6" s="1"/>
  <c r="J41" i="6"/>
  <c r="K41" i="6" s="1"/>
  <c r="L41" i="6" s="1"/>
  <c r="M41" i="6" s="1"/>
  <c r="N41" i="6" s="1"/>
  <c r="O41" i="6" s="1"/>
  <c r="P41" i="6" s="1"/>
  <c r="Q41" i="6" s="1"/>
  <c r="I41" i="6"/>
  <c r="H41" i="6"/>
  <c r="G41" i="6"/>
  <c r="F41" i="6"/>
  <c r="E41" i="6"/>
  <c r="S39" i="6"/>
  <c r="R39" i="6"/>
  <c r="Q39" i="6"/>
  <c r="P39" i="6"/>
  <c r="O39" i="6"/>
  <c r="N39" i="6"/>
  <c r="M39" i="6"/>
  <c r="L39" i="6"/>
  <c r="K39" i="6"/>
  <c r="J39" i="6"/>
  <c r="S38" i="6"/>
  <c r="R38" i="6"/>
  <c r="Q38" i="6"/>
  <c r="P38" i="6"/>
  <c r="O38" i="6"/>
  <c r="N38" i="6"/>
  <c r="M38" i="6"/>
  <c r="L38" i="6"/>
  <c r="K38" i="6"/>
  <c r="J38" i="6"/>
  <c r="I38" i="6"/>
  <c r="H38" i="6"/>
  <c r="G38" i="6"/>
  <c r="F38" i="6"/>
  <c r="E38" i="6"/>
  <c r="N27" i="6"/>
  <c r="N30" i="6" s="1"/>
  <c r="K27" i="6"/>
  <c r="K30" i="6" s="1"/>
  <c r="R26" i="6"/>
  <c r="S25" i="6"/>
  <c r="L25" i="6"/>
  <c r="K25" i="6"/>
  <c r="F25" i="6"/>
  <c r="I24" i="6"/>
  <c r="I39" i="6" s="1"/>
  <c r="H24" i="6"/>
  <c r="H39" i="6" s="1"/>
  <c r="G24" i="6"/>
  <c r="G39" i="6" s="1"/>
  <c r="F24" i="6"/>
  <c r="F39" i="6" s="1"/>
  <c r="E24" i="6"/>
  <c r="E39" i="6" s="1"/>
  <c r="S23" i="6"/>
  <c r="R23" i="6"/>
  <c r="R31" i="6" s="1"/>
  <c r="Q23" i="6"/>
  <c r="Q25" i="6" s="1"/>
  <c r="P23" i="6"/>
  <c r="P25" i="6" s="1"/>
  <c r="O23" i="6"/>
  <c r="N23" i="6"/>
  <c r="M23" i="6"/>
  <c r="L23" i="6"/>
  <c r="K23" i="6"/>
  <c r="J23" i="6"/>
  <c r="I23" i="6"/>
  <c r="H23" i="6"/>
  <c r="G23" i="6"/>
  <c r="F23" i="6"/>
  <c r="E23" i="6"/>
  <c r="E22" i="6"/>
  <c r="S19" i="6"/>
  <c r="R19" i="6"/>
  <c r="Q19" i="6"/>
  <c r="P19" i="6"/>
  <c r="O19" i="6"/>
  <c r="N19" i="6"/>
  <c r="M19" i="6"/>
  <c r="L19" i="6"/>
  <c r="K19" i="6"/>
  <c r="J19" i="6"/>
  <c r="I19" i="6"/>
  <c r="H19" i="6"/>
  <c r="G19" i="6"/>
  <c r="F19" i="6"/>
  <c r="E19" i="6"/>
  <c r="E49" i="6" s="1"/>
  <c r="O15" i="6"/>
  <c r="O49" i="6" s="1"/>
  <c r="S13" i="6"/>
  <c r="Q13" i="6"/>
  <c r="P13" i="6"/>
  <c r="O13" i="6"/>
  <c r="N13" i="6"/>
  <c r="M13" i="6"/>
  <c r="M15" i="6" s="1"/>
  <c r="M49" i="6" s="1"/>
  <c r="K13" i="6"/>
  <c r="I13" i="6"/>
  <c r="H13" i="6"/>
  <c r="G13" i="6"/>
  <c r="F13" i="6"/>
  <c r="E13" i="6"/>
  <c r="E12" i="6"/>
  <c r="H5" i="6"/>
  <c r="H6" i="6" s="1"/>
  <c r="D4" i="6" s="1"/>
  <c r="D5" i="6"/>
  <c r="E14" i="6" s="1"/>
  <c r="D3" i="6"/>
  <c r="K56" i="5"/>
  <c r="M41" i="5"/>
  <c r="N41" i="5" s="1"/>
  <c r="O41" i="5" s="1"/>
  <c r="P41" i="5" s="1"/>
  <c r="Q41" i="5" s="1"/>
  <c r="R41" i="5" s="1"/>
  <c r="S41" i="5" s="1"/>
  <c r="J41" i="5"/>
  <c r="K41" i="5" s="1"/>
  <c r="L41" i="5" s="1"/>
  <c r="I41" i="5"/>
  <c r="H41" i="5"/>
  <c r="G41" i="5"/>
  <c r="F41" i="5"/>
  <c r="E41" i="5"/>
  <c r="S39" i="5"/>
  <c r="R39" i="5"/>
  <c r="Q39" i="5"/>
  <c r="P39" i="5"/>
  <c r="O39" i="5"/>
  <c r="N39" i="5"/>
  <c r="M39" i="5"/>
  <c r="L39" i="5"/>
  <c r="K39" i="5"/>
  <c r="J39" i="5"/>
  <c r="H39" i="5"/>
  <c r="F37" i="5"/>
  <c r="E37" i="5"/>
  <c r="E38" i="5" s="1"/>
  <c r="R30" i="5"/>
  <c r="J30" i="5"/>
  <c r="R28" i="5"/>
  <c r="R34" i="5" s="1"/>
  <c r="M28" i="5"/>
  <c r="J28" i="5"/>
  <c r="S27" i="5"/>
  <c r="S27" i="6" s="1"/>
  <c r="S30" i="6" s="1"/>
  <c r="R27" i="5"/>
  <c r="R27" i="6" s="1"/>
  <c r="R30" i="6" s="1"/>
  <c r="Q27" i="5"/>
  <c r="P27" i="5"/>
  <c r="P27" i="6" s="1"/>
  <c r="P30" i="6" s="1"/>
  <c r="P31" i="6" s="1"/>
  <c r="P32" i="6" s="1"/>
  <c r="O27" i="5"/>
  <c r="O27" i="6" s="1"/>
  <c r="O30" i="6" s="1"/>
  <c r="N27" i="5"/>
  <c r="N30" i="5" s="1"/>
  <c r="M27" i="5"/>
  <c r="M30" i="5" s="1"/>
  <c r="L27" i="5"/>
  <c r="K27" i="5"/>
  <c r="K30" i="5" s="1"/>
  <c r="J27" i="5"/>
  <c r="J27" i="6" s="1"/>
  <c r="J30" i="6" s="1"/>
  <c r="I27" i="5"/>
  <c r="H27" i="5"/>
  <c r="H27" i="6" s="1"/>
  <c r="H30" i="6" s="1"/>
  <c r="H31" i="6" s="1"/>
  <c r="G27" i="5"/>
  <c r="G27" i="6" s="1"/>
  <c r="G30" i="6" s="1"/>
  <c r="F27" i="5"/>
  <c r="F30" i="5" s="1"/>
  <c r="E27" i="5"/>
  <c r="E30" i="5" s="1"/>
  <c r="S26" i="5"/>
  <c r="S56" i="5" s="1"/>
  <c r="R26" i="5"/>
  <c r="R56" i="5" s="1"/>
  <c r="Q26" i="5"/>
  <c r="P26" i="5"/>
  <c r="O26" i="5"/>
  <c r="O56" i="5" s="1"/>
  <c r="N26" i="5"/>
  <c r="M26" i="5"/>
  <c r="M56" i="5" s="1"/>
  <c r="L26" i="5"/>
  <c r="L26" i="6" s="1"/>
  <c r="K26" i="5"/>
  <c r="J26" i="5"/>
  <c r="J26" i="6" s="1"/>
  <c r="I26" i="5"/>
  <c r="H26" i="5"/>
  <c r="G26" i="5"/>
  <c r="G56" i="5" s="1"/>
  <c r="F26" i="5"/>
  <c r="F26" i="6" s="1"/>
  <c r="E26" i="5"/>
  <c r="R25" i="5"/>
  <c r="M25" i="5"/>
  <c r="E25" i="5"/>
  <c r="I24" i="5"/>
  <c r="I39" i="5" s="1"/>
  <c r="H24" i="5"/>
  <c r="G24" i="5"/>
  <c r="G39" i="5" s="1"/>
  <c r="F24" i="5"/>
  <c r="F39" i="5" s="1"/>
  <c r="E24" i="5"/>
  <c r="E39" i="5" s="1"/>
  <c r="R23" i="5"/>
  <c r="Q23" i="5"/>
  <c r="O23" i="5"/>
  <c r="M23" i="5"/>
  <c r="M31" i="5" s="1"/>
  <c r="J23" i="5"/>
  <c r="J31" i="5" s="1"/>
  <c r="I23" i="5"/>
  <c r="G23" i="5"/>
  <c r="E23" i="5"/>
  <c r="E31" i="5" s="1"/>
  <c r="S22" i="5"/>
  <c r="S23" i="5" s="1"/>
  <c r="R22" i="5"/>
  <c r="Q22" i="5"/>
  <c r="P22" i="5"/>
  <c r="P23" i="5" s="1"/>
  <c r="O22" i="5"/>
  <c r="N22" i="5"/>
  <c r="N23" i="5" s="1"/>
  <c r="M22" i="5"/>
  <c r="L22" i="5"/>
  <c r="L23" i="5" s="1"/>
  <c r="K22" i="5"/>
  <c r="K23" i="5" s="1"/>
  <c r="J22" i="5"/>
  <c r="I22" i="5"/>
  <c r="H22" i="5"/>
  <c r="H23" i="5" s="1"/>
  <c r="G22" i="5"/>
  <c r="F22" i="5"/>
  <c r="F23" i="5" s="1"/>
  <c r="E22" i="5"/>
  <c r="S19" i="5"/>
  <c r="S49" i="5" s="1"/>
  <c r="R19" i="5"/>
  <c r="R49" i="5" s="1"/>
  <c r="Q19" i="5"/>
  <c r="Q49" i="5" s="1"/>
  <c r="P19" i="5"/>
  <c r="P49" i="5" s="1"/>
  <c r="O19" i="5"/>
  <c r="O49" i="5" s="1"/>
  <c r="N19" i="5"/>
  <c r="N49" i="5" s="1"/>
  <c r="M19" i="5"/>
  <c r="M49" i="5" s="1"/>
  <c r="L19" i="5"/>
  <c r="L49" i="5" s="1"/>
  <c r="K19" i="5"/>
  <c r="K49" i="5" s="1"/>
  <c r="J19" i="5"/>
  <c r="J49" i="5" s="1"/>
  <c r="I19" i="5"/>
  <c r="I49" i="5" s="1"/>
  <c r="H19" i="5"/>
  <c r="H49" i="5" s="1"/>
  <c r="G19" i="5"/>
  <c r="G49" i="5" s="1"/>
  <c r="F19" i="5"/>
  <c r="F49" i="5" s="1"/>
  <c r="E19" i="5"/>
  <c r="E49" i="5" s="1"/>
  <c r="Q13" i="5"/>
  <c r="M13" i="5"/>
  <c r="I13" i="5"/>
  <c r="E13" i="5"/>
  <c r="E12" i="5"/>
  <c r="P13" i="5" s="1"/>
  <c r="H5" i="5"/>
  <c r="H6" i="5" s="1"/>
  <c r="D4" i="5" s="1"/>
  <c r="D3" i="5"/>
  <c r="S56" i="4"/>
  <c r="R56" i="4"/>
  <c r="Q56" i="4"/>
  <c r="P56" i="4"/>
  <c r="O56" i="4"/>
  <c r="N56" i="4"/>
  <c r="M56" i="4"/>
  <c r="L56" i="4"/>
  <c r="K56" i="4"/>
  <c r="J56" i="4"/>
  <c r="I56" i="4"/>
  <c r="H56" i="4"/>
  <c r="G56" i="4"/>
  <c r="F56" i="4"/>
  <c r="E56" i="4"/>
  <c r="E51" i="4"/>
  <c r="L41" i="4"/>
  <c r="M41" i="4" s="1"/>
  <c r="N41" i="4" s="1"/>
  <c r="O41" i="4" s="1"/>
  <c r="P41" i="4" s="1"/>
  <c r="Q41" i="4" s="1"/>
  <c r="R41" i="4" s="1"/>
  <c r="S41" i="4" s="1"/>
  <c r="I41" i="4"/>
  <c r="J41" i="4" s="1"/>
  <c r="K41" i="4" s="1"/>
  <c r="H41" i="4"/>
  <c r="G41" i="4"/>
  <c r="F41" i="4"/>
  <c r="E41" i="4"/>
  <c r="S39" i="4"/>
  <c r="R39" i="4"/>
  <c r="Q39" i="4"/>
  <c r="P39" i="4"/>
  <c r="O39" i="4"/>
  <c r="N39" i="4"/>
  <c r="M39" i="4"/>
  <c r="L39" i="4"/>
  <c r="K39" i="4"/>
  <c r="J39" i="4"/>
  <c r="F38" i="4"/>
  <c r="E38" i="4"/>
  <c r="F37" i="4"/>
  <c r="G37" i="4" s="1"/>
  <c r="Q34" i="4"/>
  <c r="L34" i="4"/>
  <c r="G34" i="4"/>
  <c r="M31" i="4"/>
  <c r="M32" i="4" s="1"/>
  <c r="J31" i="4"/>
  <c r="S30" i="4"/>
  <c r="R30" i="4"/>
  <c r="Q30" i="4"/>
  <c r="P30" i="4"/>
  <c r="O30" i="4"/>
  <c r="N30" i="4"/>
  <c r="M30" i="4"/>
  <c r="L30" i="4"/>
  <c r="K30" i="4"/>
  <c r="J30" i="4"/>
  <c r="I30" i="4"/>
  <c r="H30" i="4"/>
  <c r="G30" i="4"/>
  <c r="F30" i="4"/>
  <c r="E30" i="4"/>
  <c r="R29" i="4"/>
  <c r="N29" i="4"/>
  <c r="N33" i="4" s="1"/>
  <c r="N35" i="4" s="1"/>
  <c r="N36" i="4" s="1"/>
  <c r="J29" i="4"/>
  <c r="F29" i="4"/>
  <c r="S28" i="4"/>
  <c r="S34" i="4" s="1"/>
  <c r="R28" i="4"/>
  <c r="R34" i="4" s="1"/>
  <c r="Q28" i="4"/>
  <c r="Q29" i="4" s="1"/>
  <c r="P28" i="4"/>
  <c r="P34" i="4" s="1"/>
  <c r="O28" i="4"/>
  <c r="O34" i="4" s="1"/>
  <c r="N28" i="4"/>
  <c r="N34" i="4" s="1"/>
  <c r="M28" i="4"/>
  <c r="M29" i="4" s="1"/>
  <c r="M33" i="4" s="1"/>
  <c r="L28" i="4"/>
  <c r="L29" i="4" s="1"/>
  <c r="L33" i="4" s="1"/>
  <c r="L35" i="4" s="1"/>
  <c r="L36" i="4" s="1"/>
  <c r="K28" i="4"/>
  <c r="K34" i="4" s="1"/>
  <c r="J28" i="4"/>
  <c r="J34" i="4" s="1"/>
  <c r="I28" i="4"/>
  <c r="I29" i="4" s="1"/>
  <c r="H28" i="4"/>
  <c r="H29" i="4" s="1"/>
  <c r="G28" i="4"/>
  <c r="G29" i="4" s="1"/>
  <c r="F28" i="4"/>
  <c r="F34" i="4" s="1"/>
  <c r="E28" i="4"/>
  <c r="E29" i="4" s="1"/>
  <c r="O25" i="4"/>
  <c r="N25" i="4"/>
  <c r="M25" i="4"/>
  <c r="L25" i="4"/>
  <c r="G25" i="4"/>
  <c r="F25" i="4"/>
  <c r="I24" i="4"/>
  <c r="I39" i="4" s="1"/>
  <c r="H24" i="4"/>
  <c r="H39" i="4" s="1"/>
  <c r="G24" i="4"/>
  <c r="G39" i="4" s="1"/>
  <c r="F24" i="4"/>
  <c r="F39" i="4" s="1"/>
  <c r="E24" i="4"/>
  <c r="E39" i="4" s="1"/>
  <c r="S23" i="4"/>
  <c r="S31" i="4" s="1"/>
  <c r="R23" i="4"/>
  <c r="R31" i="4" s="1"/>
  <c r="Q23" i="4"/>
  <c r="Q31" i="4" s="1"/>
  <c r="P23" i="4"/>
  <c r="P31" i="4" s="1"/>
  <c r="O23" i="4"/>
  <c r="N23" i="4"/>
  <c r="N31" i="4" s="1"/>
  <c r="N32" i="4" s="1"/>
  <c r="M23" i="4"/>
  <c r="L23" i="4"/>
  <c r="L31" i="4" s="1"/>
  <c r="L32" i="4" s="1"/>
  <c r="K23" i="4"/>
  <c r="K25" i="4" s="1"/>
  <c r="J23" i="4"/>
  <c r="J25" i="4" s="1"/>
  <c r="I23" i="4"/>
  <c r="I31" i="4" s="1"/>
  <c r="H23" i="4"/>
  <c r="H31" i="4" s="1"/>
  <c r="G23" i="4"/>
  <c r="F23" i="4"/>
  <c r="F31" i="4" s="1"/>
  <c r="F32" i="4" s="1"/>
  <c r="E23" i="4"/>
  <c r="E31" i="4" s="1"/>
  <c r="S19" i="4"/>
  <c r="S49" i="4" s="1"/>
  <c r="R19" i="4"/>
  <c r="R49" i="4" s="1"/>
  <c r="Q19" i="4"/>
  <c r="Q49" i="4" s="1"/>
  <c r="P19" i="4"/>
  <c r="P49" i="4" s="1"/>
  <c r="O19" i="4"/>
  <c r="O49" i="4" s="1"/>
  <c r="N19" i="4"/>
  <c r="N49" i="4" s="1"/>
  <c r="M19" i="4"/>
  <c r="M49" i="4" s="1"/>
  <c r="L19" i="4"/>
  <c r="L49" i="4" s="1"/>
  <c r="K19" i="4"/>
  <c r="K49" i="4" s="1"/>
  <c r="J19" i="4"/>
  <c r="J49" i="4" s="1"/>
  <c r="I19" i="4"/>
  <c r="I49" i="4" s="1"/>
  <c r="H19" i="4"/>
  <c r="H49" i="4" s="1"/>
  <c r="G19" i="4"/>
  <c r="G49" i="4" s="1"/>
  <c r="F19" i="4"/>
  <c r="F49" i="4" s="1"/>
  <c r="E19" i="4"/>
  <c r="E49" i="4" s="1"/>
  <c r="Q13" i="4"/>
  <c r="P13" i="4"/>
  <c r="O13" i="4"/>
  <c r="N13" i="4"/>
  <c r="M13" i="4"/>
  <c r="L13" i="4"/>
  <c r="I13" i="4"/>
  <c r="I15" i="4" s="1"/>
  <c r="H13" i="4"/>
  <c r="G13" i="4"/>
  <c r="F13" i="4"/>
  <c r="E13" i="4"/>
  <c r="E12" i="4"/>
  <c r="S13" i="4" s="1"/>
  <c r="H6" i="4"/>
  <c r="D4" i="4"/>
  <c r="D5" i="4" s="1"/>
  <c r="E14" i="4" s="1"/>
  <c r="I49" i="3"/>
  <c r="H49" i="3"/>
  <c r="G49" i="3"/>
  <c r="F49" i="3"/>
  <c r="E49" i="3"/>
  <c r="I37" i="3"/>
  <c r="H37" i="3"/>
  <c r="G37" i="3"/>
  <c r="F37" i="3"/>
  <c r="E37" i="3"/>
  <c r="I36" i="3"/>
  <c r="H36" i="3"/>
  <c r="G36" i="3"/>
  <c r="F36" i="3"/>
  <c r="E36" i="3"/>
  <c r="I35" i="3"/>
  <c r="H35" i="3"/>
  <c r="G35" i="3"/>
  <c r="F35" i="3"/>
  <c r="E35" i="3"/>
  <c r="I34" i="3"/>
  <c r="E34" i="3"/>
  <c r="I31" i="3"/>
  <c r="H31" i="3"/>
  <c r="G31" i="3"/>
  <c r="F31" i="3"/>
  <c r="E31" i="3"/>
  <c r="I30" i="3"/>
  <c r="I29" i="3" s="1"/>
  <c r="H30" i="3"/>
  <c r="H29" i="3" s="1"/>
  <c r="G30" i="3"/>
  <c r="G29" i="3" s="1"/>
  <c r="F30" i="3"/>
  <c r="E30" i="3"/>
  <c r="E29" i="3" s="1"/>
  <c r="F29" i="3"/>
  <c r="F40" i="3" s="1"/>
  <c r="I25" i="3"/>
  <c r="H25" i="3"/>
  <c r="G25" i="3"/>
  <c r="F25" i="3"/>
  <c r="E25" i="3"/>
  <c r="E23" i="3"/>
  <c r="E42" i="3" s="1"/>
  <c r="I17" i="3"/>
  <c r="H17" i="3"/>
  <c r="H34" i="3" s="1"/>
  <c r="G17" i="3"/>
  <c r="G34" i="3" s="1"/>
  <c r="F17" i="3"/>
  <c r="F33" i="3" s="1"/>
  <c r="E33" i="3"/>
  <c r="I15" i="3"/>
  <c r="I50" i="3" s="1"/>
  <c r="H15" i="3"/>
  <c r="H50" i="3" s="1"/>
  <c r="G15" i="3"/>
  <c r="G50" i="3" s="1"/>
  <c r="F15" i="3"/>
  <c r="F50" i="3" s="1"/>
  <c r="E15" i="3"/>
  <c r="E50" i="3" s="1"/>
  <c r="F14" i="3"/>
  <c r="G14" i="3" s="1"/>
  <c r="H14" i="3" s="1"/>
  <c r="I14" i="3" s="1"/>
  <c r="J14" i="3" s="1"/>
  <c r="K14" i="3" s="1"/>
  <c r="L14" i="3" s="1"/>
  <c r="M14" i="3" s="1"/>
  <c r="N14" i="3" s="1"/>
  <c r="O14" i="3" s="1"/>
  <c r="P14" i="3" s="1"/>
  <c r="Q14" i="3" s="1"/>
  <c r="R14" i="3" s="1"/>
  <c r="S14" i="3" s="1"/>
  <c r="H13" i="3"/>
  <c r="I13" i="3" s="1"/>
  <c r="J13" i="3" s="1"/>
  <c r="K13" i="3" s="1"/>
  <c r="L13" i="3" s="1"/>
  <c r="M13" i="3" s="1"/>
  <c r="N13" i="3" s="1"/>
  <c r="O13" i="3" s="1"/>
  <c r="P13" i="3" s="1"/>
  <c r="Q13" i="3" s="1"/>
  <c r="R13" i="3" s="1"/>
  <c r="S13" i="3" s="1"/>
  <c r="G13" i="3"/>
  <c r="F13" i="3"/>
  <c r="F12" i="3"/>
  <c r="F23" i="3" s="1"/>
  <c r="R50" i="2"/>
  <c r="Q50" i="2"/>
  <c r="P50" i="2"/>
  <c r="O50" i="2"/>
  <c r="N50" i="2"/>
  <c r="R48" i="2"/>
  <c r="N48" i="2"/>
  <c r="R45" i="2"/>
  <c r="Q45" i="2"/>
  <c r="Q48" i="2" s="1"/>
  <c r="P45" i="2"/>
  <c r="P48" i="2" s="1"/>
  <c r="O45" i="2"/>
  <c r="N45" i="2"/>
  <c r="R39" i="2"/>
  <c r="Q39" i="2"/>
  <c r="P39" i="2"/>
  <c r="O39" i="2"/>
  <c r="N39" i="2"/>
  <c r="R35" i="2"/>
  <c r="Q35" i="2"/>
  <c r="P35" i="2"/>
  <c r="O35" i="2"/>
  <c r="N35" i="2"/>
  <c r="Q33" i="2"/>
  <c r="R32" i="2"/>
  <c r="Q32" i="2"/>
  <c r="P32" i="2"/>
  <c r="O32" i="2"/>
  <c r="N32" i="2"/>
  <c r="Q28" i="2"/>
  <c r="P28" i="2"/>
  <c r="Q24" i="2"/>
  <c r="R23" i="2"/>
  <c r="Q23" i="2"/>
  <c r="P23" i="2"/>
  <c r="P27" i="2" s="1"/>
  <c r="P29" i="2" s="1"/>
  <c r="P30" i="2" s="1"/>
  <c r="N23" i="2"/>
  <c r="R22" i="2"/>
  <c r="R28" i="2" s="1"/>
  <c r="Q22" i="2"/>
  <c r="P22" i="2"/>
  <c r="O22" i="2"/>
  <c r="O28" i="2" s="1"/>
  <c r="N22" i="2"/>
  <c r="N28" i="2" s="1"/>
  <c r="P19" i="2"/>
  <c r="R18" i="2"/>
  <c r="R33" i="2" s="1"/>
  <c r="Q18" i="2"/>
  <c r="P18" i="2"/>
  <c r="P33" i="2" s="1"/>
  <c r="O18" i="2"/>
  <c r="O19" i="2" s="1"/>
  <c r="N18" i="2"/>
  <c r="N33" i="2" s="1"/>
  <c r="R17" i="2"/>
  <c r="Q17" i="2"/>
  <c r="Q25" i="2" s="1"/>
  <c r="P17" i="2"/>
  <c r="O17" i="2"/>
  <c r="N17" i="2"/>
  <c r="N19" i="2" s="1"/>
  <c r="R13" i="2"/>
  <c r="Q13" i="2"/>
  <c r="P13" i="2"/>
  <c r="O13" i="2"/>
  <c r="N13" i="2"/>
  <c r="R12" i="2"/>
  <c r="Q12" i="2"/>
  <c r="P12" i="2"/>
  <c r="O12" i="2"/>
  <c r="N12" i="2"/>
  <c r="R11" i="2"/>
  <c r="Q11" i="2"/>
  <c r="N11" i="2"/>
  <c r="O10" i="2"/>
  <c r="N10" i="2"/>
  <c r="N14" i="2" s="1"/>
  <c r="R9" i="2"/>
  <c r="R10" i="2" s="1"/>
  <c r="R14" i="2" s="1"/>
  <c r="Q9" i="2"/>
  <c r="Q10" i="2" s="1"/>
  <c r="Q14" i="2" s="1"/>
  <c r="P9" i="2"/>
  <c r="P10" i="2" s="1"/>
  <c r="O9" i="2"/>
  <c r="N9" i="2"/>
  <c r="N43" i="2" s="1"/>
  <c r="D8" i="2"/>
  <c r="D7" i="2"/>
  <c r="R6" i="2"/>
  <c r="Q6" i="2"/>
  <c r="P6" i="2"/>
  <c r="O6" i="2"/>
  <c r="N6" i="2"/>
  <c r="R5" i="2"/>
  <c r="R24" i="2" s="1"/>
  <c r="Q5" i="2"/>
  <c r="P5" i="2"/>
  <c r="P24" i="2" s="1"/>
  <c r="P25" i="2" s="1"/>
  <c r="P26" i="2" s="1"/>
  <c r="O5" i="2"/>
  <c r="O24" i="2" s="1"/>
  <c r="O25" i="2" s="1"/>
  <c r="O26" i="2" s="1"/>
  <c r="N5" i="2"/>
  <c r="N24" i="2" s="1"/>
  <c r="R4" i="2"/>
  <c r="Q4" i="2"/>
  <c r="P4" i="2"/>
  <c r="O4" i="2"/>
  <c r="N4" i="2"/>
  <c r="O3" i="2"/>
  <c r="N3" i="2"/>
  <c r="I50" i="1"/>
  <c r="S27" i="1" s="1"/>
  <c r="S25" i="1" s="1"/>
  <c r="I49" i="1"/>
  <c r="S46" i="1"/>
  <c r="P46" i="1"/>
  <c r="S45" i="1"/>
  <c r="R45" i="1"/>
  <c r="Q45" i="1"/>
  <c r="P45" i="1"/>
  <c r="O45" i="1"/>
  <c r="S33" i="1"/>
  <c r="R33" i="1"/>
  <c r="Q33" i="1"/>
  <c r="P33" i="1"/>
  <c r="O33" i="1"/>
  <c r="S32" i="1"/>
  <c r="R32" i="1"/>
  <c r="Q32" i="1"/>
  <c r="P32" i="1"/>
  <c r="O32" i="1"/>
  <c r="S31" i="1"/>
  <c r="R31" i="1"/>
  <c r="Q31" i="1"/>
  <c r="P31" i="1"/>
  <c r="O31" i="1"/>
  <c r="R30" i="1"/>
  <c r="Q30" i="1"/>
  <c r="S29" i="1"/>
  <c r="O29" i="1"/>
  <c r="Q27" i="1"/>
  <c r="Q25" i="1" s="1"/>
  <c r="P27" i="1"/>
  <c r="P25" i="1" s="1"/>
  <c r="S26" i="1"/>
  <c r="R26" i="1"/>
  <c r="Q26" i="1"/>
  <c r="P26" i="1"/>
  <c r="O26" i="1"/>
  <c r="P22" i="1"/>
  <c r="P47" i="1" s="1"/>
  <c r="P48" i="1" s="1"/>
  <c r="P49" i="1" s="1"/>
  <c r="P50" i="1" s="1"/>
  <c r="O22" i="1"/>
  <c r="O47" i="1" s="1"/>
  <c r="O48" i="1" s="1"/>
  <c r="O49" i="1" s="1"/>
  <c r="S21" i="1"/>
  <c r="Q21" i="1"/>
  <c r="S20" i="1"/>
  <c r="R20" i="1"/>
  <c r="R21" i="1" s="1"/>
  <c r="Q20" i="1"/>
  <c r="P20" i="1"/>
  <c r="P21" i="1" s="1"/>
  <c r="O20" i="1"/>
  <c r="O21" i="1" s="1"/>
  <c r="S19" i="1"/>
  <c r="S22" i="1" s="1"/>
  <c r="S47" i="1" s="1"/>
  <c r="S48" i="1" s="1"/>
  <c r="S49" i="1" s="1"/>
  <c r="S50" i="1" s="1"/>
  <c r="R19" i="1"/>
  <c r="R38" i="1" s="1"/>
  <c r="Q19" i="1"/>
  <c r="Q38" i="1" s="1"/>
  <c r="P19" i="1"/>
  <c r="P38" i="1" s="1"/>
  <c r="O19" i="1"/>
  <c r="O38" i="1" s="1"/>
  <c r="S13" i="1"/>
  <c r="R13" i="1"/>
  <c r="R29" i="1" s="1"/>
  <c r="Q13" i="1"/>
  <c r="Q29" i="1" s="1"/>
  <c r="P13" i="1"/>
  <c r="P29" i="1" s="1"/>
  <c r="O13" i="1"/>
  <c r="S11" i="1"/>
  <c r="R11" i="1"/>
  <c r="R46" i="1" s="1"/>
  <c r="Q11" i="1"/>
  <c r="Q46" i="1" s="1"/>
  <c r="P11" i="1"/>
  <c r="O11" i="1"/>
  <c r="O46" i="1" s="1"/>
  <c r="F75" i="1"/>
  <c r="L15" i="4" l="1"/>
  <c r="M15" i="4"/>
  <c r="G33" i="4"/>
  <c r="G35" i="4" s="1"/>
  <c r="G36" i="4" s="1"/>
  <c r="G40" i="4" s="1"/>
  <c r="G42" i="4" s="1"/>
  <c r="J32" i="4"/>
  <c r="N51" i="2"/>
  <c r="N52" i="2" s="1"/>
  <c r="N53" i="2" s="1"/>
  <c r="N54" i="2"/>
  <c r="Q40" i="1"/>
  <c r="Q41" i="1" s="1"/>
  <c r="P36" i="1"/>
  <c r="P39" i="1"/>
  <c r="F26" i="3"/>
  <c r="F51" i="3" s="1"/>
  <c r="F52" i="3" s="1"/>
  <c r="F53" i="3" s="1"/>
  <c r="F54" i="3" s="1"/>
  <c r="F42" i="3"/>
  <c r="F44" i="3" s="1"/>
  <c r="F45" i="3" s="1"/>
  <c r="S15" i="4"/>
  <c r="N15" i="4"/>
  <c r="Q51" i="2"/>
  <c r="Q52" i="2" s="1"/>
  <c r="Q53" i="2" s="1"/>
  <c r="Q55" i="2" s="1"/>
  <c r="Q54" i="2"/>
  <c r="S36" i="1"/>
  <c r="S39" i="1"/>
  <c r="P40" i="1"/>
  <c r="P34" i="2"/>
  <c r="P36" i="2" s="1"/>
  <c r="E40" i="3"/>
  <c r="E43" i="3"/>
  <c r="E44" i="3" s="1"/>
  <c r="E45" i="3" s="1"/>
  <c r="O50" i="1"/>
  <c r="O15" i="4"/>
  <c r="R51" i="2"/>
  <c r="R52" i="2" s="1"/>
  <c r="R53" i="2" s="1"/>
  <c r="R55" i="2" s="1"/>
  <c r="R54" i="2"/>
  <c r="Q36" i="1"/>
  <c r="Q39" i="1"/>
  <c r="R25" i="2"/>
  <c r="F15" i="4"/>
  <c r="P15" i="4"/>
  <c r="P41" i="1"/>
  <c r="G15" i="4"/>
  <c r="Q15" i="4"/>
  <c r="H15" i="4"/>
  <c r="F33" i="4"/>
  <c r="F35" i="4" s="1"/>
  <c r="F36" i="4" s="1"/>
  <c r="F40" i="4" s="1"/>
  <c r="F42" i="4" s="1"/>
  <c r="G38" i="4"/>
  <c r="G51" i="4"/>
  <c r="O30" i="1"/>
  <c r="O11" i="2"/>
  <c r="Q19" i="2"/>
  <c r="Q26" i="2" s="1"/>
  <c r="Q27" i="2" s="1"/>
  <c r="Q29" i="2" s="1"/>
  <c r="Q30" i="2" s="1"/>
  <c r="Q34" i="2" s="1"/>
  <c r="O23" i="2"/>
  <c r="O27" i="2" s="1"/>
  <c r="O29" i="2" s="1"/>
  <c r="O30" i="2" s="1"/>
  <c r="P43" i="2"/>
  <c r="O48" i="2"/>
  <c r="G12" i="3"/>
  <c r="G33" i="3"/>
  <c r="E25" i="4"/>
  <c r="E32" i="4" s="1"/>
  <c r="E33" i="4" s="1"/>
  <c r="E35" i="4" s="1"/>
  <c r="E36" i="4" s="1"/>
  <c r="E40" i="4" s="1"/>
  <c r="E42" i="4" s="1"/>
  <c r="O29" i="4"/>
  <c r="K31" i="4"/>
  <c r="K32" i="4" s="1"/>
  <c r="H34" i="4"/>
  <c r="H37" i="4"/>
  <c r="D5" i="5"/>
  <c r="E14" i="5" s="1"/>
  <c r="K31" i="5"/>
  <c r="K25" i="5"/>
  <c r="S25" i="5"/>
  <c r="S31" i="5"/>
  <c r="S32" i="5" s="1"/>
  <c r="Q25" i="5"/>
  <c r="O27" i="1"/>
  <c r="O25" i="1" s="1"/>
  <c r="P30" i="1"/>
  <c r="P11" i="2"/>
  <c r="P14" i="2" s="1"/>
  <c r="R19" i="2"/>
  <c r="N25" i="2"/>
  <c r="N26" i="2" s="1"/>
  <c r="N27" i="2" s="1"/>
  <c r="N29" i="2" s="1"/>
  <c r="N30" i="2" s="1"/>
  <c r="N34" i="2" s="1"/>
  <c r="Q43" i="2"/>
  <c r="H33" i="3"/>
  <c r="P29" i="4"/>
  <c r="P33" i="4" s="1"/>
  <c r="P35" i="4" s="1"/>
  <c r="P36" i="4" s="1"/>
  <c r="I34" i="4"/>
  <c r="L25" i="5"/>
  <c r="R43" i="2"/>
  <c r="I33" i="3"/>
  <c r="P15" i="5"/>
  <c r="F56" i="6"/>
  <c r="S38" i="1"/>
  <c r="S40" i="1" s="1"/>
  <c r="S41" i="1" s="1"/>
  <c r="F38" i="5"/>
  <c r="G37" i="5"/>
  <c r="F51" i="5"/>
  <c r="H25" i="4"/>
  <c r="H32" i="4" s="1"/>
  <c r="H33" i="4" s="1"/>
  <c r="H35" i="4" s="1"/>
  <c r="H36" i="4" s="1"/>
  <c r="P25" i="4"/>
  <c r="J33" i="4"/>
  <c r="J35" i="4" s="1"/>
  <c r="J36" i="4" s="1"/>
  <c r="M34" i="4"/>
  <c r="M35" i="4" s="1"/>
  <c r="M36" i="4" s="1"/>
  <c r="F31" i="5"/>
  <c r="F25" i="5"/>
  <c r="N31" i="5"/>
  <c r="N25" i="5"/>
  <c r="I25" i="5"/>
  <c r="Q33" i="7"/>
  <c r="Q35" i="7" s="1"/>
  <c r="Q36" i="7" s="1"/>
  <c r="Q40" i="7" s="1"/>
  <c r="Q42" i="7" s="1"/>
  <c r="Q22" i="1"/>
  <c r="Q47" i="1" s="1"/>
  <c r="Q48" i="1" s="1"/>
  <c r="Q49" i="1" s="1"/>
  <c r="Q50" i="1" s="1"/>
  <c r="R27" i="1"/>
  <c r="R25" i="1" s="1"/>
  <c r="S30" i="1"/>
  <c r="F34" i="3"/>
  <c r="F43" i="3"/>
  <c r="J13" i="4"/>
  <c r="J15" i="4" s="1"/>
  <c r="R13" i="4"/>
  <c r="R15" i="4" s="1"/>
  <c r="I25" i="4"/>
  <c r="I32" i="4" s="1"/>
  <c r="I33" i="4" s="1"/>
  <c r="I35" i="4" s="1"/>
  <c r="I36" i="4" s="1"/>
  <c r="Q25" i="4"/>
  <c r="Q32" i="4" s="1"/>
  <c r="Q33" i="4" s="1"/>
  <c r="Q35" i="4" s="1"/>
  <c r="Q36" i="4" s="1"/>
  <c r="K29" i="4"/>
  <c r="K33" i="4" s="1"/>
  <c r="K35" i="4" s="1"/>
  <c r="K36" i="4" s="1"/>
  <c r="S29" i="4"/>
  <c r="I15" i="5"/>
  <c r="H26" i="6"/>
  <c r="H28" i="5"/>
  <c r="H56" i="5"/>
  <c r="P26" i="6"/>
  <c r="P56" i="5"/>
  <c r="P28" i="5"/>
  <c r="I27" i="6"/>
  <c r="I30" i="6" s="1"/>
  <c r="I31" i="6" s="1"/>
  <c r="I32" i="6" s="1"/>
  <c r="I30" i="5"/>
  <c r="I31" i="5" s="1"/>
  <c r="I32" i="5" s="1"/>
  <c r="Q27" i="6"/>
  <c r="Q30" i="6" s="1"/>
  <c r="Q30" i="5"/>
  <c r="Q31" i="5" s="1"/>
  <c r="Q32" i="5" s="1"/>
  <c r="E15" i="4"/>
  <c r="R22" i="1"/>
  <c r="R47" i="1" s="1"/>
  <c r="R48" i="1" s="1"/>
  <c r="R49" i="1" s="1"/>
  <c r="R50" i="1" s="1"/>
  <c r="O33" i="2"/>
  <c r="E26" i="3"/>
  <c r="E51" i="3" s="1"/>
  <c r="E52" i="3" s="1"/>
  <c r="E53" i="3" s="1"/>
  <c r="E54" i="3" s="1"/>
  <c r="K13" i="4"/>
  <c r="K15" i="4" s="1"/>
  <c r="R25" i="4"/>
  <c r="R32" i="4" s="1"/>
  <c r="R33" i="4" s="1"/>
  <c r="R35" i="4" s="1"/>
  <c r="R36" i="4" s="1"/>
  <c r="E34" i="4"/>
  <c r="H25" i="5"/>
  <c r="P25" i="5"/>
  <c r="P32" i="4"/>
  <c r="G31" i="4"/>
  <c r="G32" i="4" s="1"/>
  <c r="O31" i="4"/>
  <c r="O32" i="4" s="1"/>
  <c r="S25" i="4"/>
  <c r="S32" i="4" s="1"/>
  <c r="Q15" i="5"/>
  <c r="F51" i="4"/>
  <c r="J13" i="5"/>
  <c r="J15" i="5" s="1"/>
  <c r="R13" i="5"/>
  <c r="R15" i="5" s="1"/>
  <c r="J25" i="5"/>
  <c r="E56" i="5"/>
  <c r="E26" i="6"/>
  <c r="J34" i="5"/>
  <c r="J29" i="5"/>
  <c r="J33" i="5" s="1"/>
  <c r="J35" i="5" s="1"/>
  <c r="J36" i="5" s="1"/>
  <c r="G30" i="5"/>
  <c r="G31" i="5" s="1"/>
  <c r="G32" i="5" s="1"/>
  <c r="S15" i="6"/>
  <c r="S49" i="6" s="1"/>
  <c r="K13" i="5"/>
  <c r="K15" i="5" s="1"/>
  <c r="S13" i="5"/>
  <c r="S15" i="5" s="1"/>
  <c r="F56" i="5"/>
  <c r="F28" i="5"/>
  <c r="N56" i="5"/>
  <c r="N26" i="6"/>
  <c r="N28" i="5"/>
  <c r="M29" i="5"/>
  <c r="M33" i="5" s="1"/>
  <c r="M35" i="5" s="1"/>
  <c r="M36" i="5" s="1"/>
  <c r="M34" i="5"/>
  <c r="Q15" i="6"/>
  <c r="Q49" i="6" s="1"/>
  <c r="H15" i="6"/>
  <c r="H49" i="6" s="1"/>
  <c r="I15" i="6"/>
  <c r="I49" i="6" s="1"/>
  <c r="F15" i="6"/>
  <c r="F49" i="6" s="1"/>
  <c r="M26" i="6"/>
  <c r="L13" i="5"/>
  <c r="L15" i="5" s="1"/>
  <c r="O30" i="5"/>
  <c r="O31" i="5" s="1"/>
  <c r="O32" i="5" s="1"/>
  <c r="K15" i="6"/>
  <c r="K49" i="6" s="1"/>
  <c r="R28" i="6"/>
  <c r="R56" i="6"/>
  <c r="E54" i="4"/>
  <c r="F13" i="5"/>
  <c r="F15" i="5" s="1"/>
  <c r="N13" i="5"/>
  <c r="N15" i="5" s="1"/>
  <c r="J32" i="5"/>
  <c r="R31" i="5"/>
  <c r="R32" i="5" s="1"/>
  <c r="I26" i="6"/>
  <c r="I28" i="5"/>
  <c r="I56" i="5"/>
  <c r="Q26" i="6"/>
  <c r="Q28" i="5"/>
  <c r="Q56" i="5"/>
  <c r="N15" i="6"/>
  <c r="N49" i="6" s="1"/>
  <c r="J31" i="6"/>
  <c r="J25" i="6"/>
  <c r="G13" i="5"/>
  <c r="G15" i="5" s="1"/>
  <c r="O13" i="5"/>
  <c r="O15" i="5" s="1"/>
  <c r="G25" i="5"/>
  <c r="O25" i="5"/>
  <c r="J28" i="6"/>
  <c r="J56" i="6"/>
  <c r="E15" i="6"/>
  <c r="H13" i="5"/>
  <c r="H15" i="5" s="1"/>
  <c r="K26" i="6"/>
  <c r="K28" i="5"/>
  <c r="S28" i="5"/>
  <c r="S26" i="6"/>
  <c r="L30" i="5"/>
  <c r="L31" i="5" s="1"/>
  <c r="L32" i="5" s="1"/>
  <c r="L27" i="6"/>
  <c r="L30" i="6" s="1"/>
  <c r="L31" i="6" s="1"/>
  <c r="L32" i="6" s="1"/>
  <c r="E28" i="5"/>
  <c r="P15" i="6"/>
  <c r="P49" i="6" s="1"/>
  <c r="R25" i="6"/>
  <c r="R32" i="6" s="1"/>
  <c r="E32" i="5"/>
  <c r="M32" i="5"/>
  <c r="L28" i="6"/>
  <c r="L56" i="6"/>
  <c r="G15" i="6"/>
  <c r="G49" i="6" s="1"/>
  <c r="E25" i="6"/>
  <c r="M25" i="6"/>
  <c r="H30" i="5"/>
  <c r="H31" i="5" s="1"/>
  <c r="H32" i="5" s="1"/>
  <c r="P30" i="5"/>
  <c r="P31" i="5" s="1"/>
  <c r="P32" i="5" s="1"/>
  <c r="K31" i="6"/>
  <c r="K32" i="6" s="1"/>
  <c r="S31" i="6"/>
  <c r="S32" i="6" s="1"/>
  <c r="I25" i="6"/>
  <c r="O15" i="7"/>
  <c r="O49" i="7" s="1"/>
  <c r="G28" i="5"/>
  <c r="O28" i="5"/>
  <c r="E51" i="5"/>
  <c r="J56" i="5"/>
  <c r="R13" i="6"/>
  <c r="R15" i="6" s="1"/>
  <c r="R49" i="6" s="1"/>
  <c r="J13" i="6"/>
  <c r="J15" i="6" s="1"/>
  <c r="J49" i="6" s="1"/>
  <c r="L13" i="6"/>
  <c r="L15" i="6" s="1"/>
  <c r="L49" i="6" s="1"/>
  <c r="O26" i="6"/>
  <c r="M27" i="6"/>
  <c r="M30" i="6" s="1"/>
  <c r="M31" i="6" s="1"/>
  <c r="M32" i="6" s="1"/>
  <c r="F15" i="7"/>
  <c r="F49" i="7" s="1"/>
  <c r="P15" i="7"/>
  <c r="P49" i="7" s="1"/>
  <c r="J33" i="7"/>
  <c r="J35" i="7" s="1"/>
  <c r="J36" i="7" s="1"/>
  <c r="J40" i="7" s="1"/>
  <c r="J42" i="7" s="1"/>
  <c r="R29" i="5"/>
  <c r="S30" i="5"/>
  <c r="L56" i="5"/>
  <c r="F31" i="6"/>
  <c r="F32" i="6" s="1"/>
  <c r="N31" i="6"/>
  <c r="N32" i="6" s="1"/>
  <c r="G26" i="6"/>
  <c r="Q31" i="6"/>
  <c r="Q32" i="6" s="1"/>
  <c r="H15" i="7"/>
  <c r="H49" i="7" s="1"/>
  <c r="G31" i="6"/>
  <c r="G25" i="6"/>
  <c r="O31" i="6"/>
  <c r="O32" i="6" s="1"/>
  <c r="O25" i="6"/>
  <c r="E27" i="6"/>
  <c r="E30" i="6" s="1"/>
  <c r="E31" i="6" s="1"/>
  <c r="E32" i="6" s="1"/>
  <c r="K54" i="6"/>
  <c r="S54" i="6"/>
  <c r="L15" i="7"/>
  <c r="L49" i="7" s="1"/>
  <c r="J15" i="7"/>
  <c r="J49" i="7" s="1"/>
  <c r="N15" i="7"/>
  <c r="N49" i="7" s="1"/>
  <c r="H25" i="6"/>
  <c r="H32" i="6" s="1"/>
  <c r="N25" i="6"/>
  <c r="F27" i="6"/>
  <c r="F30" i="6" s="1"/>
  <c r="F31" i="7"/>
  <c r="N31" i="7"/>
  <c r="N32" i="7" s="1"/>
  <c r="N33" i="7" s="1"/>
  <c r="N35" i="7" s="1"/>
  <c r="N36" i="7" s="1"/>
  <c r="N40" i="7" s="1"/>
  <c r="N42" i="7" s="1"/>
  <c r="L28" i="5"/>
  <c r="G34" i="7"/>
  <c r="G29" i="7"/>
  <c r="O34" i="7"/>
  <c r="O29" i="7"/>
  <c r="O33" i="7" s="1"/>
  <c r="O35" i="7" s="1"/>
  <c r="O36" i="7" s="1"/>
  <c r="O40" i="7" s="1"/>
  <c r="O42" i="7" s="1"/>
  <c r="K33" i="7"/>
  <c r="K35" i="7" s="1"/>
  <c r="K36" i="7" s="1"/>
  <c r="K40" i="7" s="1"/>
  <c r="K42" i="7" s="1"/>
  <c r="O31" i="7"/>
  <c r="O32" i="7" s="1"/>
  <c r="I54" i="7"/>
  <c r="Q54" i="7"/>
  <c r="E15" i="7"/>
  <c r="H25" i="7"/>
  <c r="M29" i="7"/>
  <c r="P31" i="7"/>
  <c r="P32" i="7" s="1"/>
  <c r="Z51" i="8"/>
  <c r="Z20" i="8"/>
  <c r="AJ51" i="8"/>
  <c r="AJ20" i="8"/>
  <c r="AJ21" i="8" s="1"/>
  <c r="AJ22" i="8" s="1"/>
  <c r="Z34" i="8"/>
  <c r="Z35" i="8" s="1"/>
  <c r="Z37" i="8" s="1"/>
  <c r="Z38" i="8" s="1"/>
  <c r="AJ27" i="8"/>
  <c r="AJ33" i="8"/>
  <c r="I54" i="6"/>
  <c r="Q54" i="6"/>
  <c r="E25" i="7"/>
  <c r="R31" i="7"/>
  <c r="R32" i="7" s="1"/>
  <c r="R33" i="7" s="1"/>
  <c r="R35" i="7" s="1"/>
  <c r="R36" i="7" s="1"/>
  <c r="R40" i="7" s="1"/>
  <c r="R42" i="7" s="1"/>
  <c r="R34" i="7"/>
  <c r="P33" i="8"/>
  <c r="P34" i="8" s="1"/>
  <c r="J54" i="6"/>
  <c r="R54" i="6"/>
  <c r="S15" i="7"/>
  <c r="S49" i="7" s="1"/>
  <c r="F25" i="7"/>
  <c r="Q25" i="7"/>
  <c r="Q32" i="7" s="1"/>
  <c r="P29" i="7"/>
  <c r="AJ16" i="8"/>
  <c r="Z16" i="8"/>
  <c r="P16" i="8"/>
  <c r="AH16" i="8"/>
  <c r="AH21" i="8" s="1"/>
  <c r="AH22" i="8" s="1"/>
  <c r="X16" i="8"/>
  <c r="X21" i="8" s="1"/>
  <c r="X22" i="8" s="1"/>
  <c r="N16" i="8"/>
  <c r="AE16" i="8"/>
  <c r="U16" i="8"/>
  <c r="AD16" i="8"/>
  <c r="T16" i="8"/>
  <c r="AF16" i="8"/>
  <c r="AC16" i="8"/>
  <c r="AC21" i="8" s="1"/>
  <c r="AC22" i="8" s="1"/>
  <c r="AA16" i="8"/>
  <c r="Y16" i="8"/>
  <c r="S16" i="8"/>
  <c r="AK16" i="8"/>
  <c r="Q16" i="8"/>
  <c r="AF33" i="8"/>
  <c r="AF34" i="8" s="1"/>
  <c r="AF35" i="8" s="1"/>
  <c r="AF37" i="8" s="1"/>
  <c r="AF38" i="8" s="1"/>
  <c r="G25" i="7"/>
  <c r="G32" i="7" s="1"/>
  <c r="S25" i="7"/>
  <c r="S32" i="7" s="1"/>
  <c r="S33" i="7" s="1"/>
  <c r="S35" i="7" s="1"/>
  <c r="S36" i="7" s="1"/>
  <c r="S40" i="7" s="1"/>
  <c r="S42" i="7" s="1"/>
  <c r="L29" i="7"/>
  <c r="L34" i="7"/>
  <c r="E29" i="7"/>
  <c r="L32" i="7"/>
  <c r="I25" i="7"/>
  <c r="I32" i="7" s="1"/>
  <c r="I33" i="7" s="1"/>
  <c r="I35" i="7" s="1"/>
  <c r="I36" i="7" s="1"/>
  <c r="I40" i="7" s="1"/>
  <c r="I42" i="7" s="1"/>
  <c r="P35" i="8"/>
  <c r="P37" i="8" s="1"/>
  <c r="P38" i="8" s="1"/>
  <c r="E32" i="7"/>
  <c r="M32" i="7"/>
  <c r="H29" i="7"/>
  <c r="H31" i="7"/>
  <c r="V51" i="8"/>
  <c r="V20" i="8"/>
  <c r="V21" i="8" s="1"/>
  <c r="V22" i="8" s="1"/>
  <c r="AF51" i="8"/>
  <c r="AF20" i="8"/>
  <c r="V27" i="8"/>
  <c r="V33" i="8"/>
  <c r="V34" i="8" s="1"/>
  <c r="V35" i="8" s="1"/>
  <c r="V37" i="8" s="1"/>
  <c r="V38" i="8" s="1"/>
  <c r="AL20" i="8"/>
  <c r="X34" i="8"/>
  <c r="AA36" i="8"/>
  <c r="T21" i="8"/>
  <c r="T22" i="8" s="1"/>
  <c r="AE36" i="8"/>
  <c r="AK35" i="9"/>
  <c r="AK37" i="9" s="1"/>
  <c r="AK38" i="9" s="1"/>
  <c r="P51" i="8"/>
  <c r="P20" i="8"/>
  <c r="P21" i="8" s="1"/>
  <c r="P22" i="8" s="1"/>
  <c r="AD21" i="8"/>
  <c r="AD22" i="8" s="1"/>
  <c r="O51" i="9"/>
  <c r="O15" i="9"/>
  <c r="Y51" i="9"/>
  <c r="Y15" i="9"/>
  <c r="Y16" i="9" s="1"/>
  <c r="Y21" i="9" s="1"/>
  <c r="Y22" i="9" s="1"/>
  <c r="AI51" i="9"/>
  <c r="AI15" i="9"/>
  <c r="AL20" i="9"/>
  <c r="AJ40" i="9"/>
  <c r="AJ53" i="9"/>
  <c r="AK39" i="9"/>
  <c r="I13" i="7"/>
  <c r="I15" i="7" s="1"/>
  <c r="I49" i="7" s="1"/>
  <c r="Q13" i="7"/>
  <c r="Q15" i="7" s="1"/>
  <c r="Q49" i="7" s="1"/>
  <c r="S20" i="8"/>
  <c r="S21" i="8" s="1"/>
  <c r="S22" i="8" s="1"/>
  <c r="S51" i="8"/>
  <c r="AC34" i="8"/>
  <c r="AC35" i="8" s="1"/>
  <c r="AC37" i="8" s="1"/>
  <c r="AC38" i="8" s="1"/>
  <c r="O51" i="8"/>
  <c r="AL17" i="8"/>
  <c r="O20" i="8"/>
  <c r="O21" i="8" s="1"/>
  <c r="O22" i="8" s="1"/>
  <c r="N21" i="8"/>
  <c r="AD34" i="8"/>
  <c r="AD35" i="8" s="1"/>
  <c r="AD37" i="8" s="1"/>
  <c r="AD38" i="8" s="1"/>
  <c r="P34" i="9"/>
  <c r="P35" i="9" s="1"/>
  <c r="P37" i="9" s="1"/>
  <c r="P38" i="9" s="1"/>
  <c r="K13" i="7"/>
  <c r="K15" i="7" s="1"/>
  <c r="K49" i="7" s="1"/>
  <c r="Q51" i="8"/>
  <c r="Q20" i="8"/>
  <c r="Q21" i="8" s="1"/>
  <c r="Q22" i="8" s="1"/>
  <c r="U51" i="8"/>
  <c r="U20" i="8"/>
  <c r="U21" i="8" s="1"/>
  <c r="U22" i="8" s="1"/>
  <c r="Q36" i="8"/>
  <c r="AA34" i="9"/>
  <c r="AA35" i="9" s="1"/>
  <c r="AA37" i="9" s="1"/>
  <c r="AA38" i="9" s="1"/>
  <c r="AE20" i="8"/>
  <c r="AE21" i="8" s="1"/>
  <c r="AE22" i="8" s="1"/>
  <c r="N27" i="8"/>
  <c r="N34" i="8" s="1"/>
  <c r="X27" i="8"/>
  <c r="AH27" i="8"/>
  <c r="AH34" i="8" s="1"/>
  <c r="N31" i="8"/>
  <c r="X31" i="8"/>
  <c r="AH31" i="8"/>
  <c r="O40" i="8"/>
  <c r="AC33" i="9"/>
  <c r="AC34" i="9" s="1"/>
  <c r="AC35" i="9" s="1"/>
  <c r="AC37" i="9" s="1"/>
  <c r="AC38" i="9" s="1"/>
  <c r="AC42" i="9" s="1"/>
  <c r="AC44" i="9" s="1"/>
  <c r="AH36" i="9"/>
  <c r="O27" i="8"/>
  <c r="O34" i="8" s="1"/>
  <c r="O35" i="8" s="1"/>
  <c r="O37" i="8" s="1"/>
  <c r="O38" i="8" s="1"/>
  <c r="O42" i="8" s="1"/>
  <c r="O44" i="8" s="1"/>
  <c r="Y27" i="8"/>
  <c r="Y34" i="8" s="1"/>
  <c r="Y35" i="8" s="1"/>
  <c r="Y37" i="8" s="1"/>
  <c r="Y38" i="8" s="1"/>
  <c r="AI27" i="8"/>
  <c r="AI34" i="8" s="1"/>
  <c r="AI35" i="8" s="1"/>
  <c r="AI37" i="8" s="1"/>
  <c r="AI38" i="8" s="1"/>
  <c r="T36" i="8"/>
  <c r="AD36" i="8"/>
  <c r="P39" i="8"/>
  <c r="S27" i="9"/>
  <c r="S34" i="9" s="1"/>
  <c r="S35" i="9" s="1"/>
  <c r="S37" i="9" s="1"/>
  <c r="S38" i="9" s="1"/>
  <c r="O40" i="9"/>
  <c r="P39" i="9"/>
  <c r="O53" i="9"/>
  <c r="Y20" i="8"/>
  <c r="Y21" i="8" s="1"/>
  <c r="Y22" i="8" s="1"/>
  <c r="AI20" i="8"/>
  <c r="AI21" i="8" s="1"/>
  <c r="AI22" i="8" s="1"/>
  <c r="Q27" i="8"/>
  <c r="Q34" i="8" s="1"/>
  <c r="Q35" i="8" s="1"/>
  <c r="Q37" i="8" s="1"/>
  <c r="Q38" i="8" s="1"/>
  <c r="AA27" i="8"/>
  <c r="AA34" i="8" s="1"/>
  <c r="AA35" i="8" s="1"/>
  <c r="AA37" i="8" s="1"/>
  <c r="AA38" i="8" s="1"/>
  <c r="AK27" i="8"/>
  <c r="AK34" i="8" s="1"/>
  <c r="AK35" i="8" s="1"/>
  <c r="AK37" i="8" s="1"/>
  <c r="AK38" i="8" s="1"/>
  <c r="P15" i="9"/>
  <c r="P51" i="9"/>
  <c r="Z51" i="9"/>
  <c r="Z15" i="9"/>
  <c r="V16" i="9"/>
  <c r="S27" i="8"/>
  <c r="S34" i="8" s="1"/>
  <c r="S35" i="8" s="1"/>
  <c r="S37" i="8" s="1"/>
  <c r="S38" i="8" s="1"/>
  <c r="AC27" i="8"/>
  <c r="N36" i="9"/>
  <c r="X56" i="9"/>
  <c r="AA20" i="8"/>
  <c r="AK20" i="8"/>
  <c r="AK21" i="8" s="1"/>
  <c r="AK22" i="8" s="1"/>
  <c r="T27" i="8"/>
  <c r="T34" i="8" s="1"/>
  <c r="T35" i="8" s="1"/>
  <c r="T37" i="8" s="1"/>
  <c r="T38" i="8" s="1"/>
  <c r="AD27" i="8"/>
  <c r="AE16" i="9"/>
  <c r="AE21" i="9" s="1"/>
  <c r="AE22" i="9" s="1"/>
  <c r="AD16" i="9"/>
  <c r="AD21" i="9" s="1"/>
  <c r="AD22" i="9" s="1"/>
  <c r="Q16" i="9"/>
  <c r="Q21" i="9" s="1"/>
  <c r="Q22" i="9" s="1"/>
  <c r="AJ16" i="9"/>
  <c r="AJ21" i="9" s="1"/>
  <c r="AJ22" i="9" s="1"/>
  <c r="Z16" i="9"/>
  <c r="Z21" i="9" s="1"/>
  <c r="Z22" i="9" s="1"/>
  <c r="AF16" i="9"/>
  <c r="AF21" i="9" s="1"/>
  <c r="AF22" i="9" s="1"/>
  <c r="V21" i="9"/>
  <c r="V22" i="9" s="1"/>
  <c r="AD34" i="9"/>
  <c r="V36" i="9"/>
  <c r="U27" i="8"/>
  <c r="U34" i="8" s="1"/>
  <c r="U35" i="8" s="1"/>
  <c r="U37" i="8" s="1"/>
  <c r="U38" i="8" s="1"/>
  <c r="AE27" i="8"/>
  <c r="AE34" i="8" s="1"/>
  <c r="AE35" i="8" s="1"/>
  <c r="AE37" i="8" s="1"/>
  <c r="AE38" i="8" s="1"/>
  <c r="U34" i="9"/>
  <c r="X36" i="9"/>
  <c r="Q51" i="9"/>
  <c r="AA51" i="9"/>
  <c r="AK51" i="9"/>
  <c r="U15" i="9"/>
  <c r="U16" i="9" s="1"/>
  <c r="U21" i="9" s="1"/>
  <c r="U22" i="9" s="1"/>
  <c r="AE15" i="9"/>
  <c r="AL17" i="9"/>
  <c r="T27" i="9"/>
  <c r="T34" i="9" s="1"/>
  <c r="AD27" i="9"/>
  <c r="T31" i="9"/>
  <c r="AD31" i="9"/>
  <c r="AD35" i="9" s="1"/>
  <c r="AD37" i="9" s="1"/>
  <c r="AD38" i="9" s="1"/>
  <c r="AD42" i="9" s="1"/>
  <c r="AD44" i="9" s="1"/>
  <c r="O36" i="9"/>
  <c r="Y36" i="9"/>
  <c r="AI36" i="9"/>
  <c r="M35" i="11"/>
  <c r="R35" i="11" s="1"/>
  <c r="M32" i="11"/>
  <c r="R32" i="11" s="1"/>
  <c r="M29" i="11"/>
  <c r="R29" i="11" s="1"/>
  <c r="M26" i="11"/>
  <c r="R26" i="11" s="1"/>
  <c r="M22" i="11"/>
  <c r="R22" i="11" s="1"/>
  <c r="M19" i="11"/>
  <c r="R19" i="11" s="1"/>
  <c r="M42" i="11"/>
  <c r="R42" i="11" s="1"/>
  <c r="M36" i="11"/>
  <c r="R36" i="11" s="1"/>
  <c r="M30" i="11"/>
  <c r="R30" i="11" s="1"/>
  <c r="M23" i="11"/>
  <c r="R23" i="11" s="1"/>
  <c r="M20" i="11"/>
  <c r="R20" i="11" s="1"/>
  <c r="M39" i="11"/>
  <c r="R39" i="11" s="1"/>
  <c r="M37" i="11"/>
  <c r="R37" i="11" s="1"/>
  <c r="M33" i="11"/>
  <c r="R33" i="11" s="1"/>
  <c r="M31" i="11"/>
  <c r="R31" i="11" s="1"/>
  <c r="M27" i="11"/>
  <c r="R27" i="11" s="1"/>
  <c r="M24" i="11"/>
  <c r="R24" i="11" s="1"/>
  <c r="M21" i="11"/>
  <c r="R21" i="11" s="1"/>
  <c r="M40" i="11"/>
  <c r="R40" i="11" s="1"/>
  <c r="M34" i="11"/>
  <c r="R34" i="11" s="1"/>
  <c r="M28" i="11"/>
  <c r="R28" i="11" s="1"/>
  <c r="M25" i="11"/>
  <c r="R25" i="11" s="1"/>
  <c r="AL13" i="9"/>
  <c r="L9" i="9" s="1"/>
  <c r="X16" i="9" s="1"/>
  <c r="X21" i="9" s="1"/>
  <c r="X22" i="9" s="1"/>
  <c r="V15" i="9"/>
  <c r="AF15" i="9"/>
  <c r="U27" i="9"/>
  <c r="AE27" i="9"/>
  <c r="AE34" i="9" s="1"/>
  <c r="U31" i="9"/>
  <c r="AE31" i="9"/>
  <c r="AH56" i="9"/>
  <c r="M41" i="11"/>
  <c r="R41" i="11" s="1"/>
  <c r="N15" i="9"/>
  <c r="X15" i="9"/>
  <c r="V27" i="9"/>
  <c r="V34" i="9" s="1"/>
  <c r="V35" i="9" s="1"/>
  <c r="V37" i="9" s="1"/>
  <c r="V38" i="9" s="1"/>
  <c r="AF27" i="9"/>
  <c r="AF34" i="9" s="1"/>
  <c r="AF35" i="9" s="1"/>
  <c r="AF37" i="9" s="1"/>
  <c r="AF38" i="9" s="1"/>
  <c r="Y40" i="9"/>
  <c r="Z39" i="9"/>
  <c r="Y53" i="9"/>
  <c r="P5" i="10"/>
  <c r="O5" i="10"/>
  <c r="P13" i="10"/>
  <c r="O13" i="10"/>
  <c r="N27" i="9"/>
  <c r="N34" i="9" s="1"/>
  <c r="N35" i="9" s="1"/>
  <c r="N37" i="9" s="1"/>
  <c r="N38" i="9" s="1"/>
  <c r="N42" i="9" s="1"/>
  <c r="N44" i="9" s="1"/>
  <c r="X27" i="9"/>
  <c r="X34" i="9" s="1"/>
  <c r="X35" i="9" s="1"/>
  <c r="X37" i="9" s="1"/>
  <c r="X38" i="9" s="1"/>
  <c r="X42" i="9" s="1"/>
  <c r="X44" i="9" s="1"/>
  <c r="AH27" i="9"/>
  <c r="AH34" i="9" s="1"/>
  <c r="AH35" i="9" s="1"/>
  <c r="AH37" i="9" s="1"/>
  <c r="AH38" i="9" s="1"/>
  <c r="AH42" i="9" s="1"/>
  <c r="AH44" i="9" s="1"/>
  <c r="AD56" i="9"/>
  <c r="O27" i="9"/>
  <c r="O34" i="9" s="1"/>
  <c r="O35" i="9" s="1"/>
  <c r="O37" i="9" s="1"/>
  <c r="O38" i="9" s="1"/>
  <c r="O42" i="9" s="1"/>
  <c r="O44" i="9" s="1"/>
  <c r="Y27" i="9"/>
  <c r="Y34" i="9" s="1"/>
  <c r="Y35" i="9" s="1"/>
  <c r="Y37" i="9" s="1"/>
  <c r="Y38" i="9" s="1"/>
  <c r="Y42" i="9" s="1"/>
  <c r="Y44" i="9" s="1"/>
  <c r="AI27" i="9"/>
  <c r="AI34" i="9" s="1"/>
  <c r="AI35" i="9" s="1"/>
  <c r="AI37" i="9" s="1"/>
  <c r="AI38" i="9" s="1"/>
  <c r="AI42" i="9" s="1"/>
  <c r="AI44" i="9" s="1"/>
  <c r="AE53" i="9"/>
  <c r="N56" i="9"/>
  <c r="T38" i="12"/>
  <c r="Q15" i="9"/>
  <c r="AA15" i="9"/>
  <c r="AA16" i="9" s="1"/>
  <c r="AA21" i="9" s="1"/>
  <c r="AA22" i="9" s="1"/>
  <c r="AK15" i="9"/>
  <c r="AK16" i="9" s="1"/>
  <c r="AK21" i="9" s="1"/>
  <c r="AK22" i="9" s="1"/>
  <c r="P27" i="9"/>
  <c r="Z27" i="9"/>
  <c r="Z34" i="9" s="1"/>
  <c r="Z35" i="9" s="1"/>
  <c r="Z37" i="9" s="1"/>
  <c r="Z38" i="9" s="1"/>
  <c r="AJ27" i="9"/>
  <c r="AJ34" i="9" s="1"/>
  <c r="AJ35" i="9" s="1"/>
  <c r="AJ37" i="9" s="1"/>
  <c r="AJ38" i="9" s="1"/>
  <c r="AJ42" i="9" s="1"/>
  <c r="AJ44" i="9" s="1"/>
  <c r="AF39" i="9"/>
  <c r="AD40" i="9"/>
  <c r="AI53" i="9"/>
  <c r="O6" i="10"/>
  <c r="O14" i="10"/>
  <c r="O19" i="10"/>
  <c r="G32" i="3" s="1"/>
  <c r="G39" i="3" s="1"/>
  <c r="O21" i="10"/>
  <c r="O23" i="10"/>
  <c r="O25" i="10"/>
  <c r="O27" i="10"/>
  <c r="O29" i="10"/>
  <c r="O31" i="10"/>
  <c r="O33" i="10"/>
  <c r="O35" i="10"/>
  <c r="O28" i="1" s="1"/>
  <c r="O35" i="1" s="1"/>
  <c r="O37" i="10"/>
  <c r="O39" i="10"/>
  <c r="O41" i="10"/>
  <c r="O43" i="10"/>
  <c r="AI40" i="9"/>
  <c r="O10" i="10"/>
  <c r="O18" i="10"/>
  <c r="O20" i="10"/>
  <c r="O22" i="10"/>
  <c r="O24" i="10"/>
  <c r="O26" i="10"/>
  <c r="O28" i="10"/>
  <c r="O30" i="10"/>
  <c r="O32" i="10"/>
  <c r="O34" i="10"/>
  <c r="O36" i="10"/>
  <c r="P28" i="1" s="1"/>
  <c r="P35" i="1" s="1"/>
  <c r="P37" i="1" s="1"/>
  <c r="P42" i="1" s="1"/>
  <c r="P44" i="1" s="1"/>
  <c r="O38" i="10"/>
  <c r="O40" i="10"/>
  <c r="O42" i="10"/>
  <c r="O44" i="10"/>
  <c r="Z62" i="9" l="1"/>
  <c r="Z59" i="9"/>
  <c r="S43" i="7"/>
  <c r="S44" i="7"/>
  <c r="AC62" i="8"/>
  <c r="AC59" i="8"/>
  <c r="Q36" i="2"/>
  <c r="AJ46" i="9"/>
  <c r="AJ49" i="9" s="1"/>
  <c r="AJ45" i="9"/>
  <c r="AJ62" i="9"/>
  <c r="AJ48" i="9"/>
  <c r="AJ59" i="9"/>
  <c r="AJ60" i="9" s="1"/>
  <c r="AJ61" i="9" s="1"/>
  <c r="AJ63" i="9" s="1"/>
  <c r="AI46" i="9"/>
  <c r="AI45" i="9"/>
  <c r="Q62" i="9"/>
  <c r="Q59" i="9"/>
  <c r="R36" i="1"/>
  <c r="R39" i="1"/>
  <c r="R40" i="1" s="1"/>
  <c r="R41" i="1" s="1"/>
  <c r="E43" i="4"/>
  <c r="E44" i="4"/>
  <c r="O45" i="8"/>
  <c r="O46" i="8"/>
  <c r="Y46" i="9"/>
  <c r="Y45" i="9"/>
  <c r="Y48" i="9" s="1"/>
  <c r="Y50" i="9" s="1"/>
  <c r="Y62" i="9"/>
  <c r="Y59" i="9"/>
  <c r="Y60" i="9" s="1"/>
  <c r="Y61" i="9" s="1"/>
  <c r="Y63" i="9" s="1"/>
  <c r="Y49" i="9"/>
  <c r="I43" i="7"/>
  <c r="I44" i="7"/>
  <c r="N36" i="2"/>
  <c r="N46" i="9"/>
  <c r="N45" i="9"/>
  <c r="AK62" i="9"/>
  <c r="AK59" i="9"/>
  <c r="X62" i="9"/>
  <c r="X59" i="9"/>
  <c r="X60" i="9" s="1"/>
  <c r="X61" i="9" s="1"/>
  <c r="X63" i="9" s="1"/>
  <c r="R44" i="7"/>
  <c r="R43" i="7"/>
  <c r="N43" i="7"/>
  <c r="N44" i="7"/>
  <c r="O46" i="9"/>
  <c r="O45" i="9"/>
  <c r="U59" i="9"/>
  <c r="U62" i="9"/>
  <c r="AE59" i="9"/>
  <c r="AE60" i="9" s="1"/>
  <c r="AE61" i="9" s="1"/>
  <c r="AE62" i="9"/>
  <c r="AA62" i="9"/>
  <c r="AA59" i="9"/>
  <c r="P54" i="2"/>
  <c r="P51" i="2"/>
  <c r="P52" i="2" s="1"/>
  <c r="P53" i="2" s="1"/>
  <c r="P55" i="2" s="1"/>
  <c r="AH46" i="9"/>
  <c r="AH45" i="9"/>
  <c r="X46" i="9"/>
  <c r="X49" i="9" s="1"/>
  <c r="X45" i="9"/>
  <c r="X48" i="9" s="1"/>
  <c r="X50" i="9" s="1"/>
  <c r="AF59" i="9"/>
  <c r="AF62" i="9"/>
  <c r="X59" i="8"/>
  <c r="X62" i="8"/>
  <c r="Q43" i="7"/>
  <c r="Q44" i="7"/>
  <c r="T35" i="9"/>
  <c r="T37" i="9" s="1"/>
  <c r="T38" i="9" s="1"/>
  <c r="AH35" i="8"/>
  <c r="AH37" i="8" s="1"/>
  <c r="AH38" i="8" s="1"/>
  <c r="U62" i="8"/>
  <c r="U59" i="8"/>
  <c r="P59" i="8"/>
  <c r="P62" i="8"/>
  <c r="E33" i="7"/>
  <c r="E35" i="7" s="1"/>
  <c r="E36" i="7" s="1"/>
  <c r="E40" i="7" s="1"/>
  <c r="E42" i="7" s="1"/>
  <c r="AH16" i="9"/>
  <c r="AH21" i="9" s="1"/>
  <c r="AH22" i="9" s="1"/>
  <c r="F32" i="7"/>
  <c r="F33" i="7" s="1"/>
  <c r="F35" i="7" s="1"/>
  <c r="F36" i="7" s="1"/>
  <c r="F40" i="7" s="1"/>
  <c r="F42" i="7" s="1"/>
  <c r="G34" i="5"/>
  <c r="G29" i="5"/>
  <c r="G33" i="5" s="1"/>
  <c r="G35" i="5" s="1"/>
  <c r="G36" i="5" s="1"/>
  <c r="Q34" i="5"/>
  <c r="Q29" i="5"/>
  <c r="Q33" i="5" s="1"/>
  <c r="Q35" i="5" s="1"/>
  <c r="Q36" i="5" s="1"/>
  <c r="P28" i="6"/>
  <c r="P56" i="6"/>
  <c r="H32" i="3"/>
  <c r="H39" i="3" s="1"/>
  <c r="F32" i="5"/>
  <c r="O34" i="2"/>
  <c r="O36" i="2" s="1"/>
  <c r="F44" i="4"/>
  <c r="F43" i="4"/>
  <c r="P38" i="2"/>
  <c r="P41" i="2" s="1"/>
  <c r="P37" i="2"/>
  <c r="P40" i="2" s="1"/>
  <c r="Z60" i="9"/>
  <c r="Z61" i="9" s="1"/>
  <c r="Z63" i="9" s="1"/>
  <c r="Z40" i="9"/>
  <c r="Z42" i="9" s="1"/>
  <c r="AA39" i="9"/>
  <c r="Z53" i="9"/>
  <c r="S33" i="4"/>
  <c r="S35" i="4" s="1"/>
  <c r="S36" i="4" s="1"/>
  <c r="AE56" i="9"/>
  <c r="O16" i="9"/>
  <c r="O21" i="9" s="1"/>
  <c r="O22" i="9" s="1"/>
  <c r="AI59" i="8"/>
  <c r="AI62" i="8"/>
  <c r="X35" i="8"/>
  <c r="X37" i="8" s="1"/>
  <c r="X38" i="8" s="1"/>
  <c r="Z21" i="8"/>
  <c r="Z22" i="8" s="1"/>
  <c r="G33" i="7"/>
  <c r="G35" i="7" s="1"/>
  <c r="G36" i="7" s="1"/>
  <c r="G40" i="7" s="1"/>
  <c r="G42" i="7" s="1"/>
  <c r="G32" i="6"/>
  <c r="O56" i="6"/>
  <c r="O28" i="6"/>
  <c r="E29" i="5"/>
  <c r="E33" i="5" s="1"/>
  <c r="E34" i="5"/>
  <c r="L20" i="6"/>
  <c r="S20" i="6"/>
  <c r="K20" i="6"/>
  <c r="P20" i="6"/>
  <c r="F20" i="6"/>
  <c r="O20" i="6"/>
  <c r="E20" i="6"/>
  <c r="N20" i="6"/>
  <c r="M20" i="6"/>
  <c r="I20" i="6"/>
  <c r="R20" i="6"/>
  <c r="H20" i="6"/>
  <c r="Q20" i="6"/>
  <c r="J20" i="6"/>
  <c r="G20" i="6"/>
  <c r="Q56" i="6"/>
  <c r="Q28" i="6"/>
  <c r="F34" i="5"/>
  <c r="F29" i="5"/>
  <c r="F33" i="5" s="1"/>
  <c r="F35" i="5" s="1"/>
  <c r="F36" i="5" s="1"/>
  <c r="F40" i="5" s="1"/>
  <c r="F42" i="5" s="1"/>
  <c r="E56" i="6"/>
  <c r="E28" i="6"/>
  <c r="N20" i="4"/>
  <c r="F20" i="4"/>
  <c r="M20" i="4"/>
  <c r="E20" i="4"/>
  <c r="G20" i="4"/>
  <c r="L20" i="4"/>
  <c r="S20" i="4"/>
  <c r="K20" i="4"/>
  <c r="R20" i="4"/>
  <c r="J20" i="4"/>
  <c r="Q20" i="4"/>
  <c r="I20" i="4"/>
  <c r="O20" i="4"/>
  <c r="P20" i="4"/>
  <c r="H20" i="4"/>
  <c r="F12" i="5"/>
  <c r="R28" i="1"/>
  <c r="R35" i="1" s="1"/>
  <c r="R37" i="1" s="1"/>
  <c r="R42" i="1" s="1"/>
  <c r="R44" i="1" s="1"/>
  <c r="O33" i="4"/>
  <c r="O35" i="4" s="1"/>
  <c r="O36" i="4" s="1"/>
  <c r="AD45" i="9"/>
  <c r="AD46" i="9"/>
  <c r="AD62" i="8"/>
  <c r="AD59" i="8"/>
  <c r="G43" i="4"/>
  <c r="G44" i="4"/>
  <c r="S16" i="9"/>
  <c r="S21" i="9" s="1"/>
  <c r="S22" i="9" s="1"/>
  <c r="Y59" i="8"/>
  <c r="Y62" i="8"/>
  <c r="O56" i="9"/>
  <c r="N35" i="8"/>
  <c r="N37" i="8" s="1"/>
  <c r="N38" i="8" s="1"/>
  <c r="N42" i="8" s="1"/>
  <c r="N44" i="8" s="1"/>
  <c r="Q59" i="8"/>
  <c r="Q62" i="8"/>
  <c r="O59" i="8"/>
  <c r="O60" i="8" s="1"/>
  <c r="O61" i="8" s="1"/>
  <c r="O63" i="8" s="1"/>
  <c r="O62" i="8"/>
  <c r="O49" i="8"/>
  <c r="O48" i="8"/>
  <c r="O50" i="8" s="1"/>
  <c r="O55" i="8" s="1"/>
  <c r="O57" i="8" s="1"/>
  <c r="H32" i="7"/>
  <c r="L33" i="7"/>
  <c r="L35" i="7" s="1"/>
  <c r="L36" i="7" s="1"/>
  <c r="L40" i="7" s="1"/>
  <c r="L42" i="7" s="1"/>
  <c r="L29" i="6"/>
  <c r="L33" i="6" s="1"/>
  <c r="L35" i="6" s="1"/>
  <c r="L36" i="6" s="1"/>
  <c r="L40" i="6" s="1"/>
  <c r="L42" i="6" s="1"/>
  <c r="L34" i="6"/>
  <c r="F54" i="4"/>
  <c r="H34" i="5"/>
  <c r="H29" i="5"/>
  <c r="H33" i="5" s="1"/>
  <c r="F28" i="6"/>
  <c r="O36" i="1"/>
  <c r="O37" i="1" s="1"/>
  <c r="O42" i="1" s="1"/>
  <c r="O44" i="1" s="1"/>
  <c r="O39" i="1"/>
  <c r="O40" i="1" s="1"/>
  <c r="O41" i="1" s="1"/>
  <c r="K32" i="5"/>
  <c r="O14" i="2"/>
  <c r="O43" i="2"/>
  <c r="I32" i="3"/>
  <c r="I39" i="3" s="1"/>
  <c r="AJ56" i="9"/>
  <c r="AH59" i="8"/>
  <c r="AH62" i="8"/>
  <c r="AJ59" i="8"/>
  <c r="AJ62" i="8"/>
  <c r="M56" i="6"/>
  <c r="M28" i="6"/>
  <c r="AI16" i="9"/>
  <c r="AI21" i="9" s="1"/>
  <c r="AI22" i="9" s="1"/>
  <c r="AC16" i="9"/>
  <c r="AC21" i="9" s="1"/>
  <c r="AC22" i="9" s="1"/>
  <c r="AK59" i="8"/>
  <c r="AK62" i="8"/>
  <c r="P40" i="9"/>
  <c r="P42" i="9" s="1"/>
  <c r="P44" i="9" s="1"/>
  <c r="Q39" i="9"/>
  <c r="P53" i="9"/>
  <c r="S62" i="8"/>
  <c r="S59" i="8"/>
  <c r="H33" i="7"/>
  <c r="H35" i="7" s="1"/>
  <c r="H36" i="7" s="1"/>
  <c r="H40" i="7" s="1"/>
  <c r="H42" i="7" s="1"/>
  <c r="R33" i="5"/>
  <c r="R35" i="5" s="1"/>
  <c r="R36" i="5" s="1"/>
  <c r="F12" i="7"/>
  <c r="J34" i="6"/>
  <c r="J29" i="6"/>
  <c r="I34" i="5"/>
  <c r="I29" i="5"/>
  <c r="I33" i="5" s="1"/>
  <c r="I35" i="5" s="1"/>
  <c r="I36" i="5" s="1"/>
  <c r="R34" i="6"/>
  <c r="R29" i="6"/>
  <c r="R33" i="6" s="1"/>
  <c r="R35" i="6" s="1"/>
  <c r="R36" i="6" s="1"/>
  <c r="R40" i="6" s="1"/>
  <c r="R42" i="6" s="1"/>
  <c r="H28" i="6"/>
  <c r="H56" i="6"/>
  <c r="E32" i="3"/>
  <c r="E39" i="3" s="1"/>
  <c r="E41" i="3" s="1"/>
  <c r="E46" i="3" s="1"/>
  <c r="E48" i="3" s="1"/>
  <c r="N55" i="2"/>
  <c r="O43" i="7"/>
  <c r="O44" i="7"/>
  <c r="N56" i="6"/>
  <c r="N28" i="6"/>
  <c r="AI56" i="9"/>
  <c r="P16" i="9"/>
  <c r="P21" i="9" s="1"/>
  <c r="P22" i="9" s="1"/>
  <c r="T16" i="9"/>
  <c r="T21" i="9" s="1"/>
  <c r="T22" i="9" s="1"/>
  <c r="AA21" i="8"/>
  <c r="AA22" i="8" s="1"/>
  <c r="P53" i="8"/>
  <c r="P60" i="8"/>
  <c r="P61" i="8" s="1"/>
  <c r="P63" i="8" s="1"/>
  <c r="P40" i="8"/>
  <c r="P42" i="8" s="1"/>
  <c r="Q39" i="8"/>
  <c r="O52" i="8"/>
  <c r="O54" i="8" s="1"/>
  <c r="AK42" i="9"/>
  <c r="AK44" i="9" s="1"/>
  <c r="AF21" i="8"/>
  <c r="AF22" i="8" s="1"/>
  <c r="P33" i="7"/>
  <c r="P35" i="7" s="1"/>
  <c r="P36" i="7" s="1"/>
  <c r="P40" i="7" s="1"/>
  <c r="P42" i="7" s="1"/>
  <c r="AJ34" i="8"/>
  <c r="AJ35" i="8" s="1"/>
  <c r="AJ37" i="8" s="1"/>
  <c r="AJ38" i="8" s="1"/>
  <c r="M33" i="7"/>
  <c r="M35" i="7" s="1"/>
  <c r="M36" i="7" s="1"/>
  <c r="M40" i="7" s="1"/>
  <c r="M42" i="7" s="1"/>
  <c r="S28" i="6"/>
  <c r="S56" i="6"/>
  <c r="J32" i="6"/>
  <c r="I56" i="6"/>
  <c r="I28" i="6"/>
  <c r="F54" i="5"/>
  <c r="G23" i="3"/>
  <c r="H12" i="3"/>
  <c r="Q28" i="1"/>
  <c r="Q35" i="1" s="1"/>
  <c r="Q37" i="1" s="1"/>
  <c r="Q42" i="1" s="1"/>
  <c r="Q44" i="1" s="1"/>
  <c r="G43" i="3"/>
  <c r="S28" i="1"/>
  <c r="S35" i="1" s="1"/>
  <c r="S37" i="1" s="1"/>
  <c r="S42" i="1" s="1"/>
  <c r="S44" i="1" s="1"/>
  <c r="O34" i="5"/>
  <c r="O29" i="5"/>
  <c r="O33" i="5" s="1"/>
  <c r="O35" i="5" s="1"/>
  <c r="O36" i="5" s="1"/>
  <c r="K28" i="6"/>
  <c r="K56" i="6"/>
  <c r="AL15" i="9"/>
  <c r="N16" i="9"/>
  <c r="AE35" i="9"/>
  <c r="AE37" i="9" s="1"/>
  <c r="AE38" i="9" s="1"/>
  <c r="AE42" i="9" s="1"/>
  <c r="AE44" i="9" s="1"/>
  <c r="AD59" i="9"/>
  <c r="AD60" i="9" s="1"/>
  <c r="AD61" i="9" s="1"/>
  <c r="AD63" i="9" s="1"/>
  <c r="AD49" i="9"/>
  <c r="AD62" i="9"/>
  <c r="AD48" i="9"/>
  <c r="AD50" i="9" s="1"/>
  <c r="AC45" i="9"/>
  <c r="AC46" i="9"/>
  <c r="N22" i="8"/>
  <c r="T62" i="8"/>
  <c r="T59" i="8"/>
  <c r="AL16" i="8"/>
  <c r="J44" i="7"/>
  <c r="J43" i="7"/>
  <c r="S29" i="5"/>
  <c r="S33" i="5" s="1"/>
  <c r="S35" i="5" s="1"/>
  <c r="S36" i="5" s="1"/>
  <c r="S34" i="5"/>
  <c r="G51" i="5"/>
  <c r="H37" i="5"/>
  <c r="G38" i="5"/>
  <c r="E15" i="5"/>
  <c r="M15" i="5"/>
  <c r="G54" i="4"/>
  <c r="F12" i="4"/>
  <c r="G40" i="3"/>
  <c r="G41" i="3" s="1"/>
  <c r="G46" i="3" s="1"/>
  <c r="G48" i="3" s="1"/>
  <c r="AF53" i="9"/>
  <c r="AF60" i="9"/>
  <c r="AF61" i="9" s="1"/>
  <c r="AF63" i="9" s="1"/>
  <c r="AF40" i="9"/>
  <c r="AF42" i="9" s="1"/>
  <c r="Y56" i="9"/>
  <c r="U35" i="9"/>
  <c r="U37" i="9" s="1"/>
  <c r="U38" i="9" s="1"/>
  <c r="V59" i="9"/>
  <c r="V62" i="9"/>
  <c r="AE62" i="8"/>
  <c r="AE59" i="8"/>
  <c r="AK60" i="9"/>
  <c r="AK61" i="9" s="1"/>
  <c r="AK63" i="9" s="1"/>
  <c r="AK53" i="9"/>
  <c r="AK40" i="9"/>
  <c r="V62" i="8"/>
  <c r="V59" i="8"/>
  <c r="M20" i="7"/>
  <c r="E20" i="7"/>
  <c r="S20" i="7"/>
  <c r="K20" i="7"/>
  <c r="I20" i="7"/>
  <c r="R20" i="7"/>
  <c r="H20" i="7"/>
  <c r="Q20" i="7"/>
  <c r="G20" i="7"/>
  <c r="P20" i="7"/>
  <c r="F20" i="7"/>
  <c r="O20" i="7"/>
  <c r="N20" i="7"/>
  <c r="L20" i="7"/>
  <c r="J20" i="7"/>
  <c r="K43" i="7"/>
  <c r="K44" i="7"/>
  <c r="L29" i="5"/>
  <c r="L33" i="5" s="1"/>
  <c r="L35" i="5" s="1"/>
  <c r="L36" i="5" s="1"/>
  <c r="L34" i="5"/>
  <c r="G56" i="6"/>
  <c r="G28" i="6"/>
  <c r="E54" i="5"/>
  <c r="K29" i="5"/>
  <c r="K33" i="5" s="1"/>
  <c r="K35" i="5" s="1"/>
  <c r="K36" i="5" s="1"/>
  <c r="K34" i="5"/>
  <c r="F12" i="6"/>
  <c r="N29" i="5"/>
  <c r="N33" i="5" s="1"/>
  <c r="N35" i="5" s="1"/>
  <c r="N36" i="5" s="1"/>
  <c r="N34" i="5"/>
  <c r="P34" i="5"/>
  <c r="P29" i="5"/>
  <c r="P33" i="5" s="1"/>
  <c r="P35" i="5" s="1"/>
  <c r="P36" i="5" s="1"/>
  <c r="N32" i="5"/>
  <c r="F32" i="3"/>
  <c r="F39" i="3" s="1"/>
  <c r="F41" i="3" s="1"/>
  <c r="F46" i="3" s="1"/>
  <c r="F48" i="3" s="1"/>
  <c r="H38" i="4"/>
  <c r="H40" i="4" s="1"/>
  <c r="H42" i="4" s="1"/>
  <c r="H51" i="4"/>
  <c r="I37" i="4"/>
  <c r="R26" i="2"/>
  <c r="R27" i="2" s="1"/>
  <c r="R29" i="2" s="1"/>
  <c r="R30" i="2" s="1"/>
  <c r="R34" i="2" s="1"/>
  <c r="Y52" i="9" l="1"/>
  <c r="Y54" i="9" s="1"/>
  <c r="Y55" i="9"/>
  <c r="Y57" i="9" s="1"/>
  <c r="H43" i="4"/>
  <c r="H44" i="4"/>
  <c r="X55" i="9"/>
  <c r="X57" i="9" s="1"/>
  <c r="X52" i="9"/>
  <c r="X54" i="9" s="1"/>
  <c r="P46" i="9"/>
  <c r="P45" i="9"/>
  <c r="P48" i="9" s="1"/>
  <c r="P50" i="9" s="1"/>
  <c r="Z44" i="9"/>
  <c r="AF44" i="9"/>
  <c r="P42" i="2"/>
  <c r="P44" i="8"/>
  <c r="N34" i="6"/>
  <c r="N29" i="6"/>
  <c r="N33" i="6" s="1"/>
  <c r="N35" i="6" s="1"/>
  <c r="N36" i="6" s="1"/>
  <c r="N40" i="6" s="1"/>
  <c r="N42" i="6" s="1"/>
  <c r="R57" i="4"/>
  <c r="R60" i="4"/>
  <c r="Q37" i="2"/>
  <c r="Q40" i="2" s="1"/>
  <c r="Q42" i="2" s="1"/>
  <c r="Q38" i="2"/>
  <c r="Q41" i="2" s="1"/>
  <c r="R57" i="7"/>
  <c r="R58" i="7" s="1"/>
  <c r="R59" i="7" s="1"/>
  <c r="R61" i="7" s="1"/>
  <c r="R46" i="7"/>
  <c r="R47" i="7"/>
  <c r="R60" i="7"/>
  <c r="AE45" i="9"/>
  <c r="AE46" i="9"/>
  <c r="AE49" i="9" s="1"/>
  <c r="S29" i="6"/>
  <c r="S33" i="6" s="1"/>
  <c r="S34" i="6"/>
  <c r="K57" i="4"/>
  <c r="K60" i="4"/>
  <c r="E29" i="6"/>
  <c r="E33" i="6" s="1"/>
  <c r="E34" i="6"/>
  <c r="G57" i="6"/>
  <c r="G58" i="6" s="1"/>
  <c r="G59" i="6" s="1"/>
  <c r="G60" i="6"/>
  <c r="E57" i="6"/>
  <c r="E58" i="6" s="1"/>
  <c r="E59" i="6" s="1"/>
  <c r="E61" i="6" s="1"/>
  <c r="E60" i="6"/>
  <c r="E35" i="5"/>
  <c r="E36" i="5" s="1"/>
  <c r="E40" i="5" s="1"/>
  <c r="E42" i="5" s="1"/>
  <c r="G40" i="5"/>
  <c r="G42" i="5" s="1"/>
  <c r="E44" i="7"/>
  <c r="E43" i="7"/>
  <c r="N38" i="2"/>
  <c r="N41" i="2" s="1"/>
  <c r="N37" i="2"/>
  <c r="N40" i="2" s="1"/>
  <c r="N42" i="2" s="1"/>
  <c r="AJ50" i="9"/>
  <c r="H57" i="7"/>
  <c r="H58" i="7" s="1"/>
  <c r="H59" i="7" s="1"/>
  <c r="H61" i="7" s="1"/>
  <c r="H60" i="7"/>
  <c r="H34" i="6"/>
  <c r="H29" i="6"/>
  <c r="H33" i="6" s="1"/>
  <c r="AC59" i="9"/>
  <c r="AC60" i="9" s="1"/>
  <c r="AC61" i="9" s="1"/>
  <c r="AC63" i="9" s="1"/>
  <c r="AC49" i="9"/>
  <c r="AC62" i="9"/>
  <c r="AC48" i="9"/>
  <c r="H54" i="4"/>
  <c r="L47" i="7"/>
  <c r="L60" i="7"/>
  <c r="L57" i="7"/>
  <c r="L58" i="7" s="1"/>
  <c r="L59" i="7" s="1"/>
  <c r="L61" i="7" s="1"/>
  <c r="AL21" i="8"/>
  <c r="AI62" i="9"/>
  <c r="AI48" i="9"/>
  <c r="AI50" i="9" s="1"/>
  <c r="AI59" i="9"/>
  <c r="AI60" i="9" s="1"/>
  <c r="AI61" i="9" s="1"/>
  <c r="AI63" i="9" s="1"/>
  <c r="AI49" i="9"/>
  <c r="N57" i="7"/>
  <c r="N58" i="7" s="1"/>
  <c r="N59" i="7" s="1"/>
  <c r="N61" i="7" s="1"/>
  <c r="N60" i="7"/>
  <c r="N46" i="7"/>
  <c r="N48" i="7" s="1"/>
  <c r="N47" i="7"/>
  <c r="I60" i="7"/>
  <c r="I46" i="7"/>
  <c r="I48" i="7" s="1"/>
  <c r="I47" i="7"/>
  <c r="I57" i="7"/>
  <c r="I58" i="7" s="1"/>
  <c r="I59" i="7" s="1"/>
  <c r="I61" i="7" s="1"/>
  <c r="S20" i="5"/>
  <c r="K20" i="5"/>
  <c r="R20" i="5"/>
  <c r="J20" i="5"/>
  <c r="Q20" i="5"/>
  <c r="I20" i="5"/>
  <c r="P20" i="5"/>
  <c r="H20" i="5"/>
  <c r="N20" i="5"/>
  <c r="F20" i="5"/>
  <c r="M20" i="5"/>
  <c r="E20" i="5"/>
  <c r="L20" i="5"/>
  <c r="O20" i="5"/>
  <c r="G20" i="5"/>
  <c r="N59" i="8"/>
  <c r="N60" i="8" s="1"/>
  <c r="N61" i="8" s="1"/>
  <c r="N63" i="8" s="1"/>
  <c r="N62" i="8"/>
  <c r="AL16" i="9"/>
  <c r="N21" i="9"/>
  <c r="P56" i="8"/>
  <c r="M29" i="6"/>
  <c r="M33" i="6" s="1"/>
  <c r="M35" i="6" s="1"/>
  <c r="M36" i="6" s="1"/>
  <c r="M40" i="6" s="1"/>
  <c r="M42" i="6" s="1"/>
  <c r="M34" i="6"/>
  <c r="O54" i="2"/>
  <c r="O51" i="2"/>
  <c r="O52" i="2" s="1"/>
  <c r="O53" i="2" s="1"/>
  <c r="H47" i="4"/>
  <c r="H57" i="4"/>
  <c r="H58" i="4" s="1"/>
  <c r="H59" i="4" s="1"/>
  <c r="H60" i="4"/>
  <c r="H46" i="4"/>
  <c r="S57" i="4"/>
  <c r="S60" i="4"/>
  <c r="J60" i="6"/>
  <c r="J57" i="6"/>
  <c r="J58" i="6" s="1"/>
  <c r="J59" i="6" s="1"/>
  <c r="O57" i="6"/>
  <c r="O58" i="6" s="1"/>
  <c r="O59" i="6" s="1"/>
  <c r="O60" i="6"/>
  <c r="O34" i="6"/>
  <c r="O29" i="6"/>
  <c r="O33" i="6" s="1"/>
  <c r="O62" i="9"/>
  <c r="O48" i="9"/>
  <c r="O50" i="9" s="1"/>
  <c r="O59" i="9"/>
  <c r="O60" i="9" s="1"/>
  <c r="O61" i="9" s="1"/>
  <c r="O49" i="9"/>
  <c r="P34" i="6"/>
  <c r="P29" i="6"/>
  <c r="P33" i="6" s="1"/>
  <c r="J46" i="7"/>
  <c r="J48" i="7" s="1"/>
  <c r="J60" i="7"/>
  <c r="J47" i="7"/>
  <c r="J57" i="7"/>
  <c r="J58" i="7" s="1"/>
  <c r="J59" i="7" s="1"/>
  <c r="J61" i="7" s="1"/>
  <c r="G26" i="3"/>
  <c r="G51" i="3" s="1"/>
  <c r="G52" i="3" s="1"/>
  <c r="G53" i="3" s="1"/>
  <c r="G54" i="3" s="1"/>
  <c r="G42" i="3"/>
  <c r="G44" i="3" s="1"/>
  <c r="G45" i="3" s="1"/>
  <c r="O60" i="7"/>
  <c r="O57" i="7"/>
  <c r="O58" i="7" s="1"/>
  <c r="O59" i="7" s="1"/>
  <c r="O47" i="7"/>
  <c r="O46" i="7"/>
  <c r="AA59" i="8"/>
  <c r="AA62" i="8"/>
  <c r="R43" i="6"/>
  <c r="R46" i="6" s="1"/>
  <c r="R48" i="6" s="1"/>
  <c r="R44" i="6"/>
  <c r="R47" i="6" s="1"/>
  <c r="P57" i="4"/>
  <c r="P60" i="4"/>
  <c r="L60" i="4"/>
  <c r="L57" i="4"/>
  <c r="F43" i="5"/>
  <c r="F44" i="5"/>
  <c r="Q60" i="6"/>
  <c r="Q57" i="6"/>
  <c r="Q58" i="6" s="1"/>
  <c r="Q59" i="6" s="1"/>
  <c r="F60" i="6"/>
  <c r="F57" i="6"/>
  <c r="F58" i="6" s="1"/>
  <c r="F59" i="6" s="1"/>
  <c r="G29" i="6"/>
  <c r="G33" i="6" s="1"/>
  <c r="G34" i="6"/>
  <c r="L43" i="7"/>
  <c r="L46" i="7" s="1"/>
  <c r="L48" i="7" s="1"/>
  <c r="L44" i="7"/>
  <c r="K60" i="7"/>
  <c r="K46" i="7"/>
  <c r="K47" i="7"/>
  <c r="K57" i="7"/>
  <c r="K58" i="7" s="1"/>
  <c r="K59" i="7" s="1"/>
  <c r="K61" i="7" s="1"/>
  <c r="F57" i="7"/>
  <c r="F58" i="7" s="1"/>
  <c r="F59" i="7" s="1"/>
  <c r="F61" i="7" s="1"/>
  <c r="F60" i="7"/>
  <c r="F46" i="7"/>
  <c r="S60" i="7"/>
  <c r="S46" i="7"/>
  <c r="S47" i="7"/>
  <c r="S57" i="7"/>
  <c r="S58" i="7" s="1"/>
  <c r="S59" i="7" s="1"/>
  <c r="S61" i="7" s="1"/>
  <c r="M44" i="7"/>
  <c r="M43" i="7"/>
  <c r="T59" i="9"/>
  <c r="T62" i="9"/>
  <c r="O60" i="4"/>
  <c r="O57" i="4"/>
  <c r="G46" i="4"/>
  <c r="G48" i="4" s="1"/>
  <c r="G47" i="4"/>
  <c r="G60" i="4"/>
  <c r="G57" i="4"/>
  <c r="G58" i="4" s="1"/>
  <c r="G59" i="4" s="1"/>
  <c r="H60" i="6"/>
  <c r="H57" i="6"/>
  <c r="H58" i="6" s="1"/>
  <c r="H59" i="6" s="1"/>
  <c r="P60" i="6"/>
  <c r="P57" i="6"/>
  <c r="P58" i="6" s="1"/>
  <c r="P59" i="6" s="1"/>
  <c r="AE48" i="9"/>
  <c r="J37" i="4"/>
  <c r="I51" i="4"/>
  <c r="I38" i="4"/>
  <c r="I40" i="4" s="1"/>
  <c r="I42" i="4" s="1"/>
  <c r="E57" i="7"/>
  <c r="E58" i="7" s="1"/>
  <c r="E59" i="7" s="1"/>
  <c r="E61" i="7" s="1"/>
  <c r="E46" i="7"/>
  <c r="E48" i="7" s="1"/>
  <c r="E60" i="7"/>
  <c r="E47" i="7"/>
  <c r="AK56" i="9"/>
  <c r="H51" i="5"/>
  <c r="H38" i="5"/>
  <c r="I37" i="5"/>
  <c r="P62" i="9"/>
  <c r="P59" i="9"/>
  <c r="P60" i="9" s="1"/>
  <c r="P61" i="9" s="1"/>
  <c r="P49" i="9"/>
  <c r="H43" i="7"/>
  <c r="H46" i="7" s="1"/>
  <c r="H48" i="7" s="1"/>
  <c r="H44" i="7"/>
  <c r="H47" i="7" s="1"/>
  <c r="N45" i="8"/>
  <c r="N48" i="8" s="1"/>
  <c r="N46" i="8"/>
  <c r="N49" i="8" s="1"/>
  <c r="I57" i="4"/>
  <c r="I58" i="4" s="1"/>
  <c r="I59" i="4" s="1"/>
  <c r="I61" i="4" s="1"/>
  <c r="I60" i="4"/>
  <c r="E60" i="4"/>
  <c r="E46" i="4"/>
  <c r="E48" i="4" s="1"/>
  <c r="E57" i="4"/>
  <c r="E58" i="4" s="1"/>
  <c r="E59" i="4" s="1"/>
  <c r="E47" i="4"/>
  <c r="R60" i="6"/>
  <c r="R57" i="6"/>
  <c r="R58" i="6" s="1"/>
  <c r="R59" i="6" s="1"/>
  <c r="K60" i="6"/>
  <c r="K57" i="6"/>
  <c r="K58" i="6" s="1"/>
  <c r="K59" i="6" s="1"/>
  <c r="G43" i="7"/>
  <c r="G46" i="7" s="1"/>
  <c r="G48" i="7" s="1"/>
  <c r="G44" i="7"/>
  <c r="Z56" i="9"/>
  <c r="O38" i="2"/>
  <c r="O41" i="2" s="1"/>
  <c r="O37" i="2"/>
  <c r="O40" i="2" s="1"/>
  <c r="F43" i="7"/>
  <c r="F44" i="7"/>
  <c r="F47" i="7" s="1"/>
  <c r="AK46" i="9"/>
  <c r="AK49" i="9" s="1"/>
  <c r="AK45" i="9"/>
  <c r="AK48" i="9" s="1"/>
  <c r="AK50" i="9" s="1"/>
  <c r="N60" i="4"/>
  <c r="N57" i="4"/>
  <c r="AD52" i="9"/>
  <c r="AD54" i="9" s="1"/>
  <c r="AD55" i="9"/>
  <c r="AD57" i="9" s="1"/>
  <c r="I34" i="6"/>
  <c r="I29" i="6"/>
  <c r="I33" i="6" s="1"/>
  <c r="G60" i="7"/>
  <c r="G57" i="7"/>
  <c r="G58" i="7" s="1"/>
  <c r="G59" i="7" s="1"/>
  <c r="G61" i="7" s="1"/>
  <c r="G47" i="7"/>
  <c r="M60" i="7"/>
  <c r="M57" i="7"/>
  <c r="M58" i="7" s="1"/>
  <c r="M59" i="7" s="1"/>
  <c r="M46" i="7"/>
  <c r="M48" i="7" s="1"/>
  <c r="M47" i="7"/>
  <c r="AF56" i="9"/>
  <c r="G54" i="5"/>
  <c r="P43" i="7"/>
  <c r="P46" i="7" s="1"/>
  <c r="P48" i="7" s="1"/>
  <c r="P44" i="7"/>
  <c r="P56" i="9"/>
  <c r="F34" i="6"/>
  <c r="F29" i="6"/>
  <c r="F33" i="6" s="1"/>
  <c r="F35" i="6" s="1"/>
  <c r="F36" i="6" s="1"/>
  <c r="F40" i="6" s="1"/>
  <c r="F42" i="6" s="1"/>
  <c r="S59" i="9"/>
  <c r="S62" i="9"/>
  <c r="Q57" i="4"/>
  <c r="Q60" i="4"/>
  <c r="M60" i="4"/>
  <c r="M57" i="4"/>
  <c r="I60" i="6"/>
  <c r="I57" i="6"/>
  <c r="I58" i="6" s="1"/>
  <c r="I59" i="6" s="1"/>
  <c r="S57" i="6"/>
  <c r="S58" i="6" s="1"/>
  <c r="S59" i="6" s="1"/>
  <c r="S60" i="6"/>
  <c r="Z59" i="8"/>
  <c r="Z62" i="8"/>
  <c r="AA60" i="9"/>
  <c r="AA61" i="9" s="1"/>
  <c r="AA63" i="9" s="1"/>
  <c r="AA53" i="9"/>
  <c r="AA40" i="9"/>
  <c r="AA42" i="9" s="1"/>
  <c r="AH62" i="9"/>
  <c r="AH48" i="9"/>
  <c r="AH50" i="9" s="1"/>
  <c r="AH59" i="9"/>
  <c r="AH60" i="9" s="1"/>
  <c r="AH61" i="9" s="1"/>
  <c r="AH49" i="9"/>
  <c r="N60" i="6"/>
  <c r="N57" i="6"/>
  <c r="N58" i="6" s="1"/>
  <c r="N59" i="6" s="1"/>
  <c r="N61" i="6" s="1"/>
  <c r="P57" i="7"/>
  <c r="P58" i="7" s="1"/>
  <c r="P59" i="7" s="1"/>
  <c r="P61" i="7" s="1"/>
  <c r="P60" i="7"/>
  <c r="P47" i="7"/>
  <c r="R36" i="2"/>
  <c r="Q60" i="7"/>
  <c r="Q57" i="7"/>
  <c r="Q58" i="7" s="1"/>
  <c r="Q59" i="7" s="1"/>
  <c r="Q46" i="7"/>
  <c r="Q47" i="7"/>
  <c r="K29" i="6"/>
  <c r="K33" i="6" s="1"/>
  <c r="K34" i="6"/>
  <c r="H23" i="3"/>
  <c r="I12" i="3"/>
  <c r="H40" i="3"/>
  <c r="H43" i="3"/>
  <c r="AF62" i="8"/>
  <c r="AF59" i="8"/>
  <c r="Q53" i="8"/>
  <c r="Q60" i="8"/>
  <c r="Q61" i="8" s="1"/>
  <c r="Q63" i="8" s="1"/>
  <c r="R39" i="8"/>
  <c r="S39" i="8" s="1"/>
  <c r="Q40" i="8"/>
  <c r="Q42" i="8" s="1"/>
  <c r="J33" i="6"/>
  <c r="J35" i="6" s="1"/>
  <c r="J36" i="6" s="1"/>
  <c r="J40" i="6" s="1"/>
  <c r="J42" i="6" s="1"/>
  <c r="Q60" i="9"/>
  <c r="Q61" i="9" s="1"/>
  <c r="Q63" i="9" s="1"/>
  <c r="R39" i="9"/>
  <c r="S39" i="9" s="1"/>
  <c r="Q53" i="9"/>
  <c r="Q40" i="9"/>
  <c r="Q42" i="9" s="1"/>
  <c r="H35" i="5"/>
  <c r="H36" i="5" s="1"/>
  <c r="H40" i="5" s="1"/>
  <c r="H42" i="5" s="1"/>
  <c r="L44" i="6"/>
  <c r="L43" i="6"/>
  <c r="L46" i="6" s="1"/>
  <c r="L48" i="6" s="1"/>
  <c r="J57" i="4"/>
  <c r="J60" i="4"/>
  <c r="F60" i="4"/>
  <c r="F46" i="4"/>
  <c r="F48" i="4" s="1"/>
  <c r="F47" i="4"/>
  <c r="F57" i="4"/>
  <c r="F58" i="4" s="1"/>
  <c r="F59" i="4" s="1"/>
  <c r="Q34" i="6"/>
  <c r="Q29" i="6"/>
  <c r="Q33" i="6" s="1"/>
  <c r="Q35" i="6" s="1"/>
  <c r="Q36" i="6" s="1"/>
  <c r="Q40" i="6" s="1"/>
  <c r="Q42" i="6" s="1"/>
  <c r="M60" i="6"/>
  <c r="M57" i="6"/>
  <c r="M58" i="6" s="1"/>
  <c r="M59" i="6" s="1"/>
  <c r="L60" i="6"/>
  <c r="L47" i="6"/>
  <c r="L57" i="6"/>
  <c r="L58" i="6" s="1"/>
  <c r="L59" i="6" s="1"/>
  <c r="L61" i="6" s="1"/>
  <c r="H41" i="3"/>
  <c r="H46" i="3" s="1"/>
  <c r="H48" i="3" s="1"/>
  <c r="AE63" i="9"/>
  <c r="G50" i="7" l="1"/>
  <c r="G52" i="7" s="1"/>
  <c r="G53" i="7"/>
  <c r="G55" i="7" s="1"/>
  <c r="L50" i="7"/>
  <c r="L52" i="7" s="1"/>
  <c r="L53" i="7"/>
  <c r="L55" i="7" s="1"/>
  <c r="AK55" i="9"/>
  <c r="AK57" i="9" s="1"/>
  <c r="AK52" i="9"/>
  <c r="AK54" i="9" s="1"/>
  <c r="P52" i="9"/>
  <c r="P54" i="9" s="1"/>
  <c r="P55" i="9"/>
  <c r="P57" i="9" s="1"/>
  <c r="P53" i="7"/>
  <c r="P55" i="7" s="1"/>
  <c r="P50" i="7"/>
  <c r="P52" i="7" s="1"/>
  <c r="L53" i="6"/>
  <c r="L55" i="6" s="1"/>
  <c r="L50" i="6"/>
  <c r="L52" i="6" s="1"/>
  <c r="O42" i="2"/>
  <c r="N50" i="8"/>
  <c r="H53" i="7"/>
  <c r="H55" i="7" s="1"/>
  <c r="H50" i="7"/>
  <c r="H52" i="7" s="1"/>
  <c r="R53" i="6"/>
  <c r="R55" i="6" s="1"/>
  <c r="R50" i="6"/>
  <c r="R52" i="6" s="1"/>
  <c r="R37" i="2"/>
  <c r="R40" i="2" s="1"/>
  <c r="R38" i="2"/>
  <c r="R41" i="2" s="1"/>
  <c r="I50" i="7"/>
  <c r="I52" i="7" s="1"/>
  <c r="I53" i="7"/>
  <c r="I55" i="7" s="1"/>
  <c r="AI52" i="9"/>
  <c r="AI54" i="9" s="1"/>
  <c r="AI55" i="9"/>
  <c r="AI57" i="9" s="1"/>
  <c r="AF45" i="9"/>
  <c r="AF48" i="9" s="1"/>
  <c r="AF46" i="9"/>
  <c r="AF49" i="9" s="1"/>
  <c r="F61" i="4"/>
  <c r="J43" i="6"/>
  <c r="J44" i="6"/>
  <c r="Q48" i="7"/>
  <c r="AA56" i="9"/>
  <c r="P61" i="6"/>
  <c r="S48" i="7"/>
  <c r="K48" i="7"/>
  <c r="N22" i="9"/>
  <c r="AL21" i="9"/>
  <c r="L57" i="5"/>
  <c r="L60" i="5"/>
  <c r="Q60" i="5"/>
  <c r="Q57" i="5"/>
  <c r="Q56" i="9"/>
  <c r="AA44" i="9"/>
  <c r="H54" i="5"/>
  <c r="O57" i="5"/>
  <c r="O60" i="5"/>
  <c r="I60" i="5"/>
  <c r="I57" i="5"/>
  <c r="Q44" i="8"/>
  <c r="Q61" i="7"/>
  <c r="S61" i="6"/>
  <c r="P63" i="9"/>
  <c r="I43" i="4"/>
  <c r="I46" i="4" s="1"/>
  <c r="I48" i="4" s="1"/>
  <c r="I44" i="4"/>
  <c r="I47" i="4" s="1"/>
  <c r="G53" i="4"/>
  <c r="G55" i="4" s="1"/>
  <c r="G50" i="4"/>
  <c r="G52" i="4" s="1"/>
  <c r="O63" i="9"/>
  <c r="O61" i="6"/>
  <c r="O55" i="2"/>
  <c r="E57" i="5"/>
  <c r="E58" i="5" s="1"/>
  <c r="E59" i="5" s="1"/>
  <c r="E60" i="5"/>
  <c r="J60" i="5"/>
  <c r="J57" i="5"/>
  <c r="P45" i="8"/>
  <c r="P48" i="8" s="1"/>
  <c r="P46" i="8"/>
  <c r="P49" i="8" s="1"/>
  <c r="S60" i="8"/>
  <c r="S61" i="8" s="1"/>
  <c r="S63" i="8" s="1"/>
  <c r="T39" i="8"/>
  <c r="S40" i="8"/>
  <c r="S42" i="8" s="1"/>
  <c r="S53" i="8"/>
  <c r="I61" i="6"/>
  <c r="F43" i="6"/>
  <c r="F46" i="6" s="1"/>
  <c r="F48" i="6" s="1"/>
  <c r="F44" i="6"/>
  <c r="K61" i="6"/>
  <c r="I54" i="4"/>
  <c r="O52" i="9"/>
  <c r="O54" i="9" s="1"/>
  <c r="O55" i="9"/>
  <c r="O57" i="9" s="1"/>
  <c r="J61" i="6"/>
  <c r="M57" i="5"/>
  <c r="M60" i="5"/>
  <c r="R60" i="5"/>
  <c r="R57" i="5"/>
  <c r="N50" i="7"/>
  <c r="N52" i="7" s="1"/>
  <c r="N53" i="7"/>
  <c r="N55" i="7" s="1"/>
  <c r="AC50" i="9"/>
  <c r="G44" i="5"/>
  <c r="G47" i="5" s="1"/>
  <c r="G43" i="5"/>
  <c r="P47" i="2"/>
  <c r="P49" i="2" s="1"/>
  <c r="P44" i="2"/>
  <c r="P46" i="2" s="1"/>
  <c r="M61" i="6"/>
  <c r="H43" i="5"/>
  <c r="H44" i="5"/>
  <c r="J12" i="3"/>
  <c r="K12" i="3" s="1"/>
  <c r="L12" i="3" s="1"/>
  <c r="M12" i="3" s="1"/>
  <c r="N12" i="3" s="1"/>
  <c r="O12" i="3" s="1"/>
  <c r="P12" i="3" s="1"/>
  <c r="Q12" i="3" s="1"/>
  <c r="R12" i="3" s="1"/>
  <c r="S12" i="3" s="1"/>
  <c r="I23" i="3"/>
  <c r="I43" i="3"/>
  <c r="I40" i="3"/>
  <c r="I41" i="3" s="1"/>
  <c r="I46" i="3" s="1"/>
  <c r="I48" i="3" s="1"/>
  <c r="J58" i="4"/>
  <c r="J59" i="4" s="1"/>
  <c r="J61" i="4" s="1"/>
  <c r="J51" i="4"/>
  <c r="K37" i="4"/>
  <c r="J38" i="4"/>
  <c r="J40" i="4" s="1"/>
  <c r="F48" i="7"/>
  <c r="F61" i="6"/>
  <c r="J47" i="6"/>
  <c r="F47" i="5"/>
  <c r="F57" i="5"/>
  <c r="F58" i="5" s="1"/>
  <c r="F59" i="5" s="1"/>
  <c r="F61" i="5" s="1"/>
  <c r="F60" i="5"/>
  <c r="F46" i="5"/>
  <c r="K60" i="5"/>
  <c r="K57" i="5"/>
  <c r="E43" i="5"/>
  <c r="E46" i="5" s="1"/>
  <c r="E44" i="5"/>
  <c r="E47" i="5" s="1"/>
  <c r="G61" i="6"/>
  <c r="R48" i="7"/>
  <c r="F53" i="4"/>
  <c r="F55" i="4" s="1"/>
  <c r="F50" i="4"/>
  <c r="F52" i="4" s="1"/>
  <c r="Q44" i="9"/>
  <c r="Q56" i="8"/>
  <c r="H42" i="3"/>
  <c r="H44" i="3" s="1"/>
  <c r="H45" i="3" s="1"/>
  <c r="H26" i="3"/>
  <c r="H51" i="3" s="1"/>
  <c r="H52" i="3" s="1"/>
  <c r="H53" i="3" s="1"/>
  <c r="H54" i="3" s="1"/>
  <c r="AH63" i="9"/>
  <c r="I35" i="6"/>
  <c r="I36" i="6" s="1"/>
  <c r="I40" i="6" s="1"/>
  <c r="E61" i="4"/>
  <c r="H61" i="6"/>
  <c r="F47" i="6"/>
  <c r="O48" i="7"/>
  <c r="O35" i="6"/>
  <c r="O36" i="6" s="1"/>
  <c r="O40" i="6" s="1"/>
  <c r="J46" i="6"/>
  <c r="J48" i="6" s="1"/>
  <c r="H48" i="4"/>
  <c r="N57" i="5"/>
  <c r="N60" i="5"/>
  <c r="S60" i="5"/>
  <c r="S57" i="5"/>
  <c r="AJ52" i="9"/>
  <c r="AJ54" i="9" s="1"/>
  <c r="AJ55" i="9"/>
  <c r="AJ57" i="9" s="1"/>
  <c r="N43" i="6"/>
  <c r="N46" i="6" s="1"/>
  <c r="N44" i="6"/>
  <c r="N47" i="6" s="1"/>
  <c r="Z46" i="9"/>
  <c r="Z49" i="9" s="1"/>
  <c r="Z45" i="9"/>
  <c r="Z48" i="9" s="1"/>
  <c r="Z50" i="9" s="1"/>
  <c r="AH52" i="9"/>
  <c r="AH54" i="9" s="1"/>
  <c r="AH55" i="9"/>
  <c r="AH57" i="9" s="1"/>
  <c r="M53" i="7"/>
  <c r="M55" i="7" s="1"/>
  <c r="M50" i="7"/>
  <c r="M52" i="7" s="1"/>
  <c r="E53" i="4"/>
  <c r="E55" i="4" s="1"/>
  <c r="E50" i="4"/>
  <c r="E52" i="4" s="1"/>
  <c r="I58" i="5"/>
  <c r="I59" i="5" s="1"/>
  <c r="I61" i="5" s="1"/>
  <c r="I51" i="5"/>
  <c r="J37" i="5"/>
  <c r="I38" i="5"/>
  <c r="I40" i="5" s="1"/>
  <c r="I42" i="5" s="1"/>
  <c r="E50" i="7"/>
  <c r="E52" i="7" s="1"/>
  <c r="E53" i="7"/>
  <c r="E55" i="7" s="1"/>
  <c r="AE50" i="9"/>
  <c r="J50" i="7"/>
  <c r="J52" i="7" s="1"/>
  <c r="J53" i="7"/>
  <c r="J55" i="7" s="1"/>
  <c r="M43" i="6"/>
  <c r="M46" i="6" s="1"/>
  <c r="M48" i="6" s="1"/>
  <c r="M44" i="6"/>
  <c r="M47" i="6" s="1"/>
  <c r="H57" i="5"/>
  <c r="H58" i="5" s="1"/>
  <c r="H59" i="5" s="1"/>
  <c r="H60" i="5"/>
  <c r="H46" i="5"/>
  <c r="H47" i="5"/>
  <c r="N44" i="2"/>
  <c r="N46" i="2" s="1"/>
  <c r="N47" i="2"/>
  <c r="N49" i="2" s="1"/>
  <c r="E35" i="6"/>
  <c r="E36" i="6" s="1"/>
  <c r="E40" i="6" s="1"/>
  <c r="S35" i="6"/>
  <c r="S36" i="6" s="1"/>
  <c r="S40" i="6" s="1"/>
  <c r="Q43" i="6"/>
  <c r="Q46" i="6" s="1"/>
  <c r="Q48" i="6" s="1"/>
  <c r="Q44" i="6"/>
  <c r="Q47" i="6" s="1"/>
  <c r="S53" i="9"/>
  <c r="S40" i="9"/>
  <c r="S42" i="9" s="1"/>
  <c r="T39" i="9"/>
  <c r="S60" i="9"/>
  <c r="S61" i="9" s="1"/>
  <c r="S63" i="9" s="1"/>
  <c r="K35" i="6"/>
  <c r="K36" i="6" s="1"/>
  <c r="K40" i="6" s="1"/>
  <c r="M61" i="7"/>
  <c r="R61" i="6"/>
  <c r="G61" i="4"/>
  <c r="G35" i="6"/>
  <c r="G36" i="6" s="1"/>
  <c r="G40" i="6" s="1"/>
  <c r="Q61" i="6"/>
  <c r="O61" i="7"/>
  <c r="P35" i="6"/>
  <c r="P36" i="6" s="1"/>
  <c r="P40" i="6" s="1"/>
  <c r="H61" i="4"/>
  <c r="G57" i="5"/>
  <c r="G58" i="5" s="1"/>
  <c r="G59" i="5" s="1"/>
  <c r="G46" i="5"/>
  <c r="G60" i="5"/>
  <c r="P57" i="5"/>
  <c r="P60" i="5"/>
  <c r="H35" i="6"/>
  <c r="H36" i="6" s="1"/>
  <c r="H40" i="6" s="1"/>
  <c r="Q44" i="2"/>
  <c r="Q46" i="2" s="1"/>
  <c r="Q47" i="2"/>
  <c r="Q49" i="2" s="1"/>
  <c r="F50" i="6" l="1"/>
  <c r="F52" i="6" s="1"/>
  <c r="F53" i="6"/>
  <c r="F55" i="6" s="1"/>
  <c r="I50" i="4"/>
  <c r="I52" i="4" s="1"/>
  <c r="I53" i="4"/>
  <c r="I55" i="4" s="1"/>
  <c r="E48" i="5"/>
  <c r="Q50" i="6"/>
  <c r="Q52" i="6" s="1"/>
  <c r="Q53" i="6"/>
  <c r="Q55" i="6" s="1"/>
  <c r="I42" i="3"/>
  <c r="I44" i="3" s="1"/>
  <c r="I45" i="3" s="1"/>
  <c r="I26" i="3"/>
  <c r="I51" i="3" s="1"/>
  <c r="I52" i="3" s="1"/>
  <c r="I53" i="3" s="1"/>
  <c r="I54" i="3" s="1"/>
  <c r="G48" i="5"/>
  <c r="H61" i="5"/>
  <c r="I43" i="5"/>
  <c r="I44" i="5"/>
  <c r="H50" i="4"/>
  <c r="H52" i="4" s="1"/>
  <c r="H53" i="4"/>
  <c r="H55" i="4" s="1"/>
  <c r="F50" i="7"/>
  <c r="F52" i="7" s="1"/>
  <c r="F53" i="7"/>
  <c r="F55" i="7" s="1"/>
  <c r="AC52" i="9"/>
  <c r="AC54" i="9" s="1"/>
  <c r="AC55" i="9"/>
  <c r="AC57" i="9" s="1"/>
  <c r="E61" i="5"/>
  <c r="Q45" i="8"/>
  <c r="Q48" i="8" s="1"/>
  <c r="Q50" i="8" s="1"/>
  <c r="Q46" i="8"/>
  <c r="Q49" i="8" s="1"/>
  <c r="G61" i="5"/>
  <c r="S42" i="6"/>
  <c r="J51" i="5"/>
  <c r="K37" i="5"/>
  <c r="J58" i="5"/>
  <c r="J59" i="5" s="1"/>
  <c r="J61" i="5" s="1"/>
  <c r="J38" i="5"/>
  <c r="J40" i="5" s="1"/>
  <c r="J53" i="6"/>
  <c r="J55" i="6" s="1"/>
  <c r="J50" i="6"/>
  <c r="J52" i="6" s="1"/>
  <c r="J42" i="4"/>
  <c r="I46" i="5"/>
  <c r="N62" i="9"/>
  <c r="N48" i="9"/>
  <c r="N59" i="9"/>
  <c r="N60" i="9" s="1"/>
  <c r="N61" i="9" s="1"/>
  <c r="N49" i="9"/>
  <c r="Q53" i="7"/>
  <c r="Q55" i="7" s="1"/>
  <c r="Q50" i="7"/>
  <c r="Q52" i="7" s="1"/>
  <c r="N52" i="8"/>
  <c r="N54" i="8" s="1"/>
  <c r="N55" i="8"/>
  <c r="N57" i="8" s="1"/>
  <c r="I42" i="6"/>
  <c r="E42" i="6"/>
  <c r="M53" i="6"/>
  <c r="M55" i="6" s="1"/>
  <c r="M50" i="6"/>
  <c r="M52" i="6" s="1"/>
  <c r="I54" i="5"/>
  <c r="Z52" i="9"/>
  <c r="Z54" i="9" s="1"/>
  <c r="Z55" i="9"/>
  <c r="Z57" i="9" s="1"/>
  <c r="O42" i="6"/>
  <c r="R53" i="7"/>
  <c r="R55" i="7" s="1"/>
  <c r="R50" i="7"/>
  <c r="R52" i="7" s="1"/>
  <c r="F48" i="5"/>
  <c r="K58" i="4"/>
  <c r="K59" i="4" s="1"/>
  <c r="K61" i="4" s="1"/>
  <c r="K51" i="4"/>
  <c r="K38" i="4"/>
  <c r="K40" i="4" s="1"/>
  <c r="L37" i="4"/>
  <c r="P50" i="8"/>
  <c r="O44" i="2"/>
  <c r="O46" i="2" s="1"/>
  <c r="O47" i="2"/>
  <c r="O49" i="2" s="1"/>
  <c r="O53" i="7"/>
  <c r="O55" i="7" s="1"/>
  <c r="O50" i="7"/>
  <c r="O52" i="7" s="1"/>
  <c r="J54" i="4"/>
  <c r="I47" i="5"/>
  <c r="K50" i="7"/>
  <c r="K52" i="7" s="1"/>
  <c r="K53" i="7"/>
  <c r="K55" i="7" s="1"/>
  <c r="Q46" i="9"/>
  <c r="Q49" i="9" s="1"/>
  <c r="Q45" i="9"/>
  <c r="Q48" i="9" s="1"/>
  <c r="Q50" i="9" s="1"/>
  <c r="K42" i="6"/>
  <c r="S50" i="7"/>
  <c r="S52" i="7" s="1"/>
  <c r="S53" i="7"/>
  <c r="S55" i="7" s="1"/>
  <c r="R42" i="2"/>
  <c r="T60" i="8"/>
  <c r="T61" i="8" s="1"/>
  <c r="T63" i="8" s="1"/>
  <c r="U39" i="8"/>
  <c r="T40" i="8"/>
  <c r="T42" i="8" s="1"/>
  <c r="T53" i="8"/>
  <c r="H42" i="6"/>
  <c r="S44" i="9"/>
  <c r="AE55" i="9"/>
  <c r="AE57" i="9" s="1"/>
  <c r="AE52" i="9"/>
  <c r="AE54" i="9" s="1"/>
  <c r="N48" i="6"/>
  <c r="S56" i="8"/>
  <c r="AA46" i="9"/>
  <c r="AA49" i="9" s="1"/>
  <c r="AA45" i="9"/>
  <c r="AA48" i="9" s="1"/>
  <c r="AA50" i="9" s="1"/>
  <c r="P42" i="6"/>
  <c r="T53" i="9"/>
  <c r="T60" i="9"/>
  <c r="T61" i="9" s="1"/>
  <c r="T63" i="9" s="1"/>
  <c r="T40" i="9"/>
  <c r="T42" i="9" s="1"/>
  <c r="U39" i="9"/>
  <c r="G42" i="6"/>
  <c r="S56" i="9"/>
  <c r="H48" i="5"/>
  <c r="S44" i="8"/>
  <c r="AF50" i="9"/>
  <c r="T56" i="8" l="1"/>
  <c r="T44" i="8"/>
  <c r="K43" i="6"/>
  <c r="K46" i="6" s="1"/>
  <c r="K48" i="6" s="1"/>
  <c r="K44" i="6"/>
  <c r="K47" i="6" s="1"/>
  <c r="N63" i="9"/>
  <c r="E43" i="6"/>
  <c r="E46" i="6" s="1"/>
  <c r="E48" i="6" s="1"/>
  <c r="E44" i="6"/>
  <c r="E47" i="6" s="1"/>
  <c r="Q52" i="9"/>
  <c r="Q54" i="9" s="1"/>
  <c r="Q55" i="9"/>
  <c r="Q57" i="9" s="1"/>
  <c r="F50" i="5"/>
  <c r="F52" i="5" s="1"/>
  <c r="F53" i="5"/>
  <c r="F55" i="5" s="1"/>
  <c r="N50" i="9"/>
  <c r="J42" i="5"/>
  <c r="AA52" i="9"/>
  <c r="AA54" i="9" s="1"/>
  <c r="AA55" i="9"/>
  <c r="AA57" i="9" s="1"/>
  <c r="I43" i="6"/>
  <c r="I46" i="6" s="1"/>
  <c r="I44" i="6"/>
  <c r="I47" i="6" s="1"/>
  <c r="Q55" i="8"/>
  <c r="Q57" i="8" s="1"/>
  <c r="Q52" i="8"/>
  <c r="Q54" i="8" s="1"/>
  <c r="E50" i="5"/>
  <c r="E52" i="5" s="1"/>
  <c r="E53" i="5"/>
  <c r="E55" i="5" s="1"/>
  <c r="K54" i="4"/>
  <c r="AF55" i="9"/>
  <c r="AF57" i="9" s="1"/>
  <c r="AF52" i="9"/>
  <c r="AF54" i="9" s="1"/>
  <c r="S45" i="9"/>
  <c r="S48" i="9" s="1"/>
  <c r="S46" i="9"/>
  <c r="S49" i="9" s="1"/>
  <c r="R47" i="2"/>
  <c r="R49" i="2" s="1"/>
  <c r="R44" i="2"/>
  <c r="R46" i="2" s="1"/>
  <c r="I48" i="5"/>
  <c r="L37" i="5"/>
  <c r="K38" i="5"/>
  <c r="K40" i="5" s="1"/>
  <c r="K58" i="5"/>
  <c r="K59" i="5" s="1"/>
  <c r="K61" i="5" s="1"/>
  <c r="K51" i="5"/>
  <c r="U53" i="9"/>
  <c r="U60" i="9"/>
  <c r="U61" i="9" s="1"/>
  <c r="U63" i="9" s="1"/>
  <c r="U40" i="9"/>
  <c r="U42" i="9" s="1"/>
  <c r="V39" i="9"/>
  <c r="T44" i="9"/>
  <c r="P52" i="8"/>
  <c r="P54" i="8" s="1"/>
  <c r="P55" i="8"/>
  <c r="P57" i="8" s="1"/>
  <c r="J54" i="5"/>
  <c r="S43" i="6"/>
  <c r="S46" i="6" s="1"/>
  <c r="S44" i="6"/>
  <c r="S47" i="6" s="1"/>
  <c r="L58" i="4"/>
  <c r="L59" i="4" s="1"/>
  <c r="L61" i="4" s="1"/>
  <c r="L51" i="4"/>
  <c r="L38" i="4"/>
  <c r="L40" i="4" s="1"/>
  <c r="M37" i="4"/>
  <c r="G50" i="5"/>
  <c r="G52" i="5" s="1"/>
  <c r="G53" i="5"/>
  <c r="G55" i="5" s="1"/>
  <c r="P43" i="6"/>
  <c r="P46" i="6" s="1"/>
  <c r="P44" i="6"/>
  <c r="P47" i="6" s="1"/>
  <c r="U60" i="8"/>
  <c r="U61" i="8" s="1"/>
  <c r="U63" i="8" s="1"/>
  <c r="U53" i="8"/>
  <c r="U40" i="8"/>
  <c r="U42" i="8" s="1"/>
  <c r="V39" i="8"/>
  <c r="G43" i="6"/>
  <c r="G46" i="6" s="1"/>
  <c r="G48" i="6" s="1"/>
  <c r="G44" i="6"/>
  <c r="G47" i="6" s="1"/>
  <c r="S46" i="8"/>
  <c r="S49" i="8" s="1"/>
  <c r="S45" i="8"/>
  <c r="S48" i="8" s="1"/>
  <c r="S50" i="8" s="1"/>
  <c r="H53" i="5"/>
  <c r="H55" i="5" s="1"/>
  <c r="H50" i="5"/>
  <c r="H52" i="5" s="1"/>
  <c r="T56" i="9"/>
  <c r="N50" i="6"/>
  <c r="N52" i="6" s="1"/>
  <c r="N53" i="6"/>
  <c r="N55" i="6" s="1"/>
  <c r="H43" i="6"/>
  <c r="H46" i="6" s="1"/>
  <c r="H44" i="6"/>
  <c r="H47" i="6" s="1"/>
  <c r="K42" i="4"/>
  <c r="O43" i="6"/>
  <c r="O46" i="6" s="1"/>
  <c r="O48" i="6" s="1"/>
  <c r="O44" i="6"/>
  <c r="O47" i="6" s="1"/>
  <c r="J44" i="4"/>
  <c r="J47" i="4" s="1"/>
  <c r="J43" i="4"/>
  <c r="J46" i="4" s="1"/>
  <c r="J48" i="4" s="1"/>
  <c r="U44" i="8" l="1"/>
  <c r="L42" i="4"/>
  <c r="K54" i="5"/>
  <c r="S50" i="9"/>
  <c r="N55" i="9"/>
  <c r="N57" i="9" s="1"/>
  <c r="N52" i="9"/>
  <c r="N54" i="9" s="1"/>
  <c r="O50" i="6"/>
  <c r="O52" i="6" s="1"/>
  <c r="O53" i="6"/>
  <c r="O55" i="6" s="1"/>
  <c r="M51" i="4"/>
  <c r="N37" i="4"/>
  <c r="M58" i="4"/>
  <c r="M59" i="4" s="1"/>
  <c r="M61" i="4" s="1"/>
  <c r="M38" i="4"/>
  <c r="M40" i="4" s="1"/>
  <c r="U56" i="9"/>
  <c r="U56" i="8"/>
  <c r="L54" i="4"/>
  <c r="K53" i="6"/>
  <c r="K55" i="6" s="1"/>
  <c r="K50" i="6"/>
  <c r="K52" i="6" s="1"/>
  <c r="V60" i="8"/>
  <c r="V61" i="8" s="1"/>
  <c r="V63" i="8" s="1"/>
  <c r="V53" i="8"/>
  <c r="V40" i="8"/>
  <c r="V42" i="8" s="1"/>
  <c r="W39" i="8"/>
  <c r="X39" i="8" s="1"/>
  <c r="K42" i="5"/>
  <c r="I48" i="6"/>
  <c r="K43" i="4"/>
  <c r="K46" i="4" s="1"/>
  <c r="K44" i="4"/>
  <c r="K47" i="4" s="1"/>
  <c r="S52" i="8"/>
  <c r="S54" i="8" s="1"/>
  <c r="S55" i="8"/>
  <c r="S57" i="8" s="1"/>
  <c r="T45" i="9"/>
  <c r="T48" i="9" s="1"/>
  <c r="T46" i="9"/>
  <c r="T49" i="9" s="1"/>
  <c r="M37" i="5"/>
  <c r="L38" i="5"/>
  <c r="L40" i="5" s="1"/>
  <c r="L58" i="5"/>
  <c r="L59" i="5" s="1"/>
  <c r="L61" i="5" s="1"/>
  <c r="L51" i="5"/>
  <c r="J43" i="5"/>
  <c r="J46" i="5" s="1"/>
  <c r="J44" i="5"/>
  <c r="J47" i="5" s="1"/>
  <c r="J50" i="4"/>
  <c r="J52" i="4" s="1"/>
  <c r="J53" i="4"/>
  <c r="J55" i="4" s="1"/>
  <c r="H48" i="6"/>
  <c r="P48" i="6"/>
  <c r="S48" i="6"/>
  <c r="V53" i="9"/>
  <c r="V60" i="9"/>
  <c r="V61" i="9" s="1"/>
  <c r="V63" i="9" s="1"/>
  <c r="V40" i="9"/>
  <c r="V42" i="9" s="1"/>
  <c r="I50" i="5"/>
  <c r="I52" i="5" s="1"/>
  <c r="I53" i="5"/>
  <c r="I55" i="5" s="1"/>
  <c r="T46" i="8"/>
  <c r="T49" i="8" s="1"/>
  <c r="T45" i="8"/>
  <c r="T48" i="8" s="1"/>
  <c r="U44" i="9"/>
  <c r="G53" i="6"/>
  <c r="G55" i="6" s="1"/>
  <c r="G50" i="6"/>
  <c r="G52" i="6" s="1"/>
  <c r="E53" i="6"/>
  <c r="E55" i="6" s="1"/>
  <c r="E50" i="6"/>
  <c r="E52" i="6" s="1"/>
  <c r="O37" i="4" l="1"/>
  <c r="N38" i="4"/>
  <c r="N40" i="4" s="1"/>
  <c r="N58" i="4"/>
  <c r="N59" i="4" s="1"/>
  <c r="N61" i="4" s="1"/>
  <c r="N51" i="4"/>
  <c r="T50" i="9"/>
  <c r="K43" i="5"/>
  <c r="K46" i="5" s="1"/>
  <c r="K44" i="5"/>
  <c r="K47" i="5" s="1"/>
  <c r="M54" i="4"/>
  <c r="H50" i="6"/>
  <c r="H52" i="6" s="1"/>
  <c r="H53" i="6"/>
  <c r="H55" i="6" s="1"/>
  <c r="X53" i="8"/>
  <c r="X40" i="8"/>
  <c r="X42" i="8" s="1"/>
  <c r="X60" i="8"/>
  <c r="X61" i="8" s="1"/>
  <c r="X63" i="8" s="1"/>
  <c r="Y39" i="8"/>
  <c r="M38" i="5"/>
  <c r="M40" i="5" s="1"/>
  <c r="M51" i="5"/>
  <c r="N37" i="5"/>
  <c r="M58" i="5"/>
  <c r="M59" i="5" s="1"/>
  <c r="M61" i="5" s="1"/>
  <c r="J48" i="5"/>
  <c r="V44" i="8"/>
  <c r="L43" i="4"/>
  <c r="L46" i="4" s="1"/>
  <c r="L48" i="4" s="1"/>
  <c r="L44" i="4"/>
  <c r="L47" i="4" s="1"/>
  <c r="V56" i="9"/>
  <c r="L54" i="5"/>
  <c r="V56" i="8"/>
  <c r="V44" i="9"/>
  <c r="U45" i="9"/>
  <c r="U48" i="9" s="1"/>
  <c r="U50" i="9" s="1"/>
  <c r="U46" i="9"/>
  <c r="U49" i="9" s="1"/>
  <c r="S50" i="6"/>
  <c r="S52" i="6" s="1"/>
  <c r="S53" i="6"/>
  <c r="S55" i="6" s="1"/>
  <c r="K48" i="4"/>
  <c r="T50" i="8"/>
  <c r="P50" i="6"/>
  <c r="P52" i="6" s="1"/>
  <c r="P53" i="6"/>
  <c r="P55" i="6" s="1"/>
  <c r="L42" i="5"/>
  <c r="I50" i="6"/>
  <c r="I52" i="6" s="1"/>
  <c r="I53" i="6"/>
  <c r="I55" i="6" s="1"/>
  <c r="M42" i="4"/>
  <c r="S55" i="9"/>
  <c r="S57" i="9" s="1"/>
  <c r="S52" i="9"/>
  <c r="S54" i="9" s="1"/>
  <c r="U46" i="8"/>
  <c r="U49" i="8" s="1"/>
  <c r="U45" i="8"/>
  <c r="U48" i="8" s="1"/>
  <c r="U50" i="8" s="1"/>
  <c r="V46" i="9" l="1"/>
  <c r="V49" i="9" s="1"/>
  <c r="V45" i="9"/>
  <c r="V48" i="9" s="1"/>
  <c r="V50" i="9" s="1"/>
  <c r="K53" i="4"/>
  <c r="K55" i="4" s="1"/>
  <c r="K50" i="4"/>
  <c r="K52" i="4" s="1"/>
  <c r="Y53" i="8"/>
  <c r="Y60" i="8"/>
  <c r="Y61" i="8" s="1"/>
  <c r="Y63" i="8" s="1"/>
  <c r="Z39" i="8"/>
  <c r="Y40" i="8"/>
  <c r="Y42" i="8" s="1"/>
  <c r="U52" i="8"/>
  <c r="U54" i="8" s="1"/>
  <c r="U55" i="8"/>
  <c r="U57" i="8" s="1"/>
  <c r="K48" i="5"/>
  <c r="V46" i="8"/>
  <c r="V49" i="8" s="1"/>
  <c r="V45" i="8"/>
  <c r="V48" i="8" s="1"/>
  <c r="V50" i="8" s="1"/>
  <c r="X44" i="8"/>
  <c r="T55" i="9"/>
  <c r="T57" i="9" s="1"/>
  <c r="T52" i="9"/>
  <c r="T54" i="9" s="1"/>
  <c r="M43" i="4"/>
  <c r="M46" i="4" s="1"/>
  <c r="M44" i="4"/>
  <c r="M47" i="4" s="1"/>
  <c r="J53" i="5"/>
  <c r="J55" i="5" s="1"/>
  <c r="J50" i="5"/>
  <c r="J52" i="5" s="1"/>
  <c r="X56" i="8"/>
  <c r="N54" i="4"/>
  <c r="M42" i="5"/>
  <c r="L44" i="5"/>
  <c r="L47" i="5" s="1"/>
  <c r="L43" i="5"/>
  <c r="L46" i="5" s="1"/>
  <c r="L50" i="4"/>
  <c r="L52" i="4" s="1"/>
  <c r="L53" i="4"/>
  <c r="L55" i="4" s="1"/>
  <c r="U52" i="9"/>
  <c r="U54" i="9" s="1"/>
  <c r="U55" i="9"/>
  <c r="U57" i="9" s="1"/>
  <c r="N38" i="5"/>
  <c r="N40" i="5" s="1"/>
  <c r="N58" i="5"/>
  <c r="N59" i="5" s="1"/>
  <c r="N61" i="5" s="1"/>
  <c r="O37" i="5"/>
  <c r="N51" i="5"/>
  <c r="N42" i="4"/>
  <c r="T52" i="8"/>
  <c r="T54" i="8" s="1"/>
  <c r="T55" i="8"/>
  <c r="T57" i="8" s="1"/>
  <c r="M54" i="5"/>
  <c r="O38" i="4"/>
  <c r="O40" i="4" s="1"/>
  <c r="O58" i="4"/>
  <c r="O59" i="4" s="1"/>
  <c r="O61" i="4" s="1"/>
  <c r="O51" i="4"/>
  <c r="P37" i="4"/>
  <c r="Y44" i="8" l="1"/>
  <c r="O42" i="4"/>
  <c r="N54" i="5"/>
  <c r="L48" i="5"/>
  <c r="Z53" i="8"/>
  <c r="Z60" i="8"/>
  <c r="Z61" i="8" s="1"/>
  <c r="Z63" i="8" s="1"/>
  <c r="AA39" i="8"/>
  <c r="Z40" i="8"/>
  <c r="Z42" i="8" s="1"/>
  <c r="X45" i="8"/>
  <c r="X48" i="8" s="1"/>
  <c r="X46" i="8"/>
  <c r="X49" i="8" s="1"/>
  <c r="V52" i="8"/>
  <c r="V54" i="8" s="1"/>
  <c r="V55" i="8"/>
  <c r="V57" i="8" s="1"/>
  <c r="Y56" i="8"/>
  <c r="N42" i="5"/>
  <c r="O58" i="5"/>
  <c r="O59" i="5" s="1"/>
  <c r="O61" i="5" s="1"/>
  <c r="O51" i="5"/>
  <c r="P37" i="5"/>
  <c r="O38" i="5"/>
  <c r="O40" i="5" s="1"/>
  <c r="M43" i="5"/>
  <c r="M46" i="5" s="1"/>
  <c r="M44" i="5"/>
  <c r="M47" i="5" s="1"/>
  <c r="M48" i="4"/>
  <c r="K50" i="5"/>
  <c r="K52" i="5" s="1"/>
  <c r="K53" i="5"/>
  <c r="K55" i="5" s="1"/>
  <c r="N44" i="4"/>
  <c r="N47" i="4" s="1"/>
  <c r="N43" i="4"/>
  <c r="N46" i="4" s="1"/>
  <c r="P38" i="4"/>
  <c r="P40" i="4" s="1"/>
  <c r="P51" i="4"/>
  <c r="Q37" i="4"/>
  <c r="P58" i="4"/>
  <c r="P59" i="4" s="1"/>
  <c r="P61" i="4" s="1"/>
  <c r="V55" i="9"/>
  <c r="V57" i="9" s="1"/>
  <c r="V52" i="9"/>
  <c r="V54" i="9" s="1"/>
  <c r="O54" i="4"/>
  <c r="O54" i="5" l="1"/>
  <c r="X50" i="8"/>
  <c r="M53" i="4"/>
  <c r="M55" i="4" s="1"/>
  <c r="M50" i="4"/>
  <c r="M52" i="4" s="1"/>
  <c r="Z44" i="8"/>
  <c r="N43" i="5"/>
  <c r="N46" i="5" s="1"/>
  <c r="N44" i="5"/>
  <c r="N47" i="5" s="1"/>
  <c r="AA53" i="8"/>
  <c r="AA60" i="8"/>
  <c r="AA61" i="8" s="1"/>
  <c r="AA63" i="8" s="1"/>
  <c r="AB39" i="8"/>
  <c r="AC39" i="8" s="1"/>
  <c r="AA40" i="8"/>
  <c r="AA42" i="8" s="1"/>
  <c r="O43" i="4"/>
  <c r="O46" i="4" s="1"/>
  <c r="O44" i="4"/>
  <c r="O47" i="4" s="1"/>
  <c r="Q58" i="4"/>
  <c r="Q59" i="4" s="1"/>
  <c r="Q61" i="4" s="1"/>
  <c r="R37" i="4"/>
  <c r="Q38" i="4"/>
  <c r="Q40" i="4" s="1"/>
  <c r="Q51" i="4"/>
  <c r="P54" i="4"/>
  <c r="M48" i="5"/>
  <c r="P42" i="4"/>
  <c r="O42" i="5"/>
  <c r="Z56" i="8"/>
  <c r="N48" i="4"/>
  <c r="P58" i="5"/>
  <c r="P59" i="5" s="1"/>
  <c r="P61" i="5" s="1"/>
  <c r="P51" i="5"/>
  <c r="P38" i="5"/>
  <c r="P40" i="5" s="1"/>
  <c r="Q37" i="5"/>
  <c r="L50" i="5"/>
  <c r="L52" i="5" s="1"/>
  <c r="L53" i="5"/>
  <c r="L55" i="5" s="1"/>
  <c r="Y45" i="8"/>
  <c r="Y48" i="8" s="1"/>
  <c r="Y46" i="8"/>
  <c r="Y49" i="8" s="1"/>
  <c r="O48" i="4" l="1"/>
  <c r="AA44" i="8"/>
  <c r="Z45" i="8"/>
  <c r="Z48" i="8" s="1"/>
  <c r="Z50" i="8" s="1"/>
  <c r="Z46" i="8"/>
  <c r="Z49" i="8" s="1"/>
  <c r="N53" i="4"/>
  <c r="N55" i="4" s="1"/>
  <c r="N50" i="4"/>
  <c r="N52" i="4" s="1"/>
  <c r="P43" i="4"/>
  <c r="P46" i="4" s="1"/>
  <c r="P48" i="4" s="1"/>
  <c r="P44" i="4"/>
  <c r="P47" i="4" s="1"/>
  <c r="M53" i="5"/>
  <c r="M55" i="5" s="1"/>
  <c r="M50" i="5"/>
  <c r="M52" i="5" s="1"/>
  <c r="Y50" i="8"/>
  <c r="AC60" i="8"/>
  <c r="AC61" i="8" s="1"/>
  <c r="AC63" i="8" s="1"/>
  <c r="AC40" i="8"/>
  <c r="AC42" i="8" s="1"/>
  <c r="AC53" i="8"/>
  <c r="AD39" i="8"/>
  <c r="P42" i="5"/>
  <c r="Q42" i="4"/>
  <c r="AA56" i="8"/>
  <c r="X52" i="8"/>
  <c r="X54" i="8" s="1"/>
  <c r="X55" i="8"/>
  <c r="X57" i="8" s="1"/>
  <c r="Q58" i="5"/>
  <c r="Q59" i="5" s="1"/>
  <c r="Q61" i="5" s="1"/>
  <c r="Q51" i="5"/>
  <c r="R37" i="5"/>
  <c r="Q38" i="5"/>
  <c r="Q40" i="5" s="1"/>
  <c r="Q54" i="4"/>
  <c r="O44" i="5"/>
  <c r="O47" i="5" s="1"/>
  <c r="O43" i="5"/>
  <c r="O46" i="5" s="1"/>
  <c r="O48" i="5" s="1"/>
  <c r="P54" i="5"/>
  <c r="R58" i="4"/>
  <c r="R59" i="4" s="1"/>
  <c r="R61" i="4" s="1"/>
  <c r="R51" i="4"/>
  <c r="S37" i="4"/>
  <c r="R38" i="4"/>
  <c r="R40" i="4" s="1"/>
  <c r="N48" i="5"/>
  <c r="Q42" i="5" l="1"/>
  <c r="AC44" i="8"/>
  <c r="R51" i="5"/>
  <c r="S37" i="5"/>
  <c r="R58" i="5"/>
  <c r="R59" i="5" s="1"/>
  <c r="R61" i="5" s="1"/>
  <c r="R38" i="5"/>
  <c r="R40" i="5" s="1"/>
  <c r="Q54" i="5"/>
  <c r="Y52" i="8"/>
  <c r="Y54" i="8" s="1"/>
  <c r="Y55" i="8"/>
  <c r="Y57" i="8" s="1"/>
  <c r="Z55" i="8"/>
  <c r="Z57" i="8" s="1"/>
  <c r="Z52" i="8"/>
  <c r="Z54" i="8" s="1"/>
  <c r="S58" i="4"/>
  <c r="S59" i="4" s="1"/>
  <c r="S61" i="4" s="1"/>
  <c r="S51" i="4"/>
  <c r="S38" i="4"/>
  <c r="S40" i="4" s="1"/>
  <c r="R54" i="4"/>
  <c r="Q43" i="4"/>
  <c r="Q46" i="4" s="1"/>
  <c r="Q48" i="4" s="1"/>
  <c r="Q44" i="4"/>
  <c r="Q47" i="4" s="1"/>
  <c r="O53" i="5"/>
  <c r="O55" i="5" s="1"/>
  <c r="O50" i="5"/>
  <c r="O52" i="5" s="1"/>
  <c r="N50" i="5"/>
  <c r="N52" i="5" s="1"/>
  <c r="N53" i="5"/>
  <c r="N55" i="5" s="1"/>
  <c r="P43" i="5"/>
  <c r="P46" i="5" s="1"/>
  <c r="P44" i="5"/>
  <c r="P47" i="5" s="1"/>
  <c r="AA45" i="8"/>
  <c r="AA48" i="8" s="1"/>
  <c r="AA50" i="8" s="1"/>
  <c r="AA46" i="8"/>
  <c r="AA49" i="8" s="1"/>
  <c r="AC56" i="8"/>
  <c r="R42" i="4"/>
  <c r="AD60" i="8"/>
  <c r="AD61" i="8" s="1"/>
  <c r="AD63" i="8" s="1"/>
  <c r="AD40" i="8"/>
  <c r="AD42" i="8" s="1"/>
  <c r="AD53" i="8"/>
  <c r="AE39" i="8"/>
  <c r="P50" i="4"/>
  <c r="P52" i="4" s="1"/>
  <c r="P53" i="4"/>
  <c r="P55" i="4" s="1"/>
  <c r="O50" i="4"/>
  <c r="O52" i="4" s="1"/>
  <c r="O53" i="4"/>
  <c r="O55" i="4" s="1"/>
  <c r="R54" i="5" l="1"/>
  <c r="S38" i="5"/>
  <c r="S40" i="5" s="1"/>
  <c r="S58" i="5"/>
  <c r="S59" i="5" s="1"/>
  <c r="S61" i="5" s="1"/>
  <c r="S51" i="5"/>
  <c r="Q50" i="4"/>
  <c r="Q52" i="4" s="1"/>
  <c r="Q53" i="4"/>
  <c r="Q55" i="4" s="1"/>
  <c r="AA55" i="8"/>
  <c r="AA57" i="8" s="1"/>
  <c r="AA52" i="8"/>
  <c r="AA54" i="8" s="1"/>
  <c r="AE60" i="8"/>
  <c r="AE61" i="8" s="1"/>
  <c r="AE63" i="8" s="1"/>
  <c r="AE53" i="8"/>
  <c r="AE40" i="8"/>
  <c r="AE42" i="8" s="1"/>
  <c r="AF39" i="8"/>
  <c r="P48" i="5"/>
  <c r="AC46" i="8"/>
  <c r="AC49" i="8" s="1"/>
  <c r="AC45" i="8"/>
  <c r="AC48" i="8" s="1"/>
  <c r="AC50" i="8" s="1"/>
  <c r="AD44" i="8"/>
  <c r="S42" i="4"/>
  <c r="AD56" i="8"/>
  <c r="R44" i="4"/>
  <c r="R47" i="4" s="1"/>
  <c r="R43" i="4"/>
  <c r="R46" i="4" s="1"/>
  <c r="R48" i="4" s="1"/>
  <c r="S54" i="4"/>
  <c r="R42" i="5"/>
  <c r="Q43" i="5"/>
  <c r="Q46" i="5" s="1"/>
  <c r="Q48" i="5" s="1"/>
  <c r="Q44" i="5"/>
  <c r="Q47" i="5" s="1"/>
  <c r="AC52" i="8" l="1"/>
  <c r="AC54" i="8" s="1"/>
  <c r="AC55" i="8"/>
  <c r="AC57" i="8" s="1"/>
  <c r="Q53" i="5"/>
  <c r="Q55" i="5" s="1"/>
  <c r="Q50" i="5"/>
  <c r="Q52" i="5" s="1"/>
  <c r="P53" i="5"/>
  <c r="P55" i="5" s="1"/>
  <c r="P50" i="5"/>
  <c r="P52" i="5" s="1"/>
  <c r="R43" i="5"/>
  <c r="R46" i="5" s="1"/>
  <c r="R48" i="5" s="1"/>
  <c r="R44" i="5"/>
  <c r="R47" i="5" s="1"/>
  <c r="AF60" i="8"/>
  <c r="AF61" i="8" s="1"/>
  <c r="AF63" i="8" s="1"/>
  <c r="AF53" i="8"/>
  <c r="AF40" i="8"/>
  <c r="AF42" i="8" s="1"/>
  <c r="AG39" i="8"/>
  <c r="AH39" i="8" s="1"/>
  <c r="S54" i="5"/>
  <c r="S43" i="4"/>
  <c r="S46" i="4" s="1"/>
  <c r="S48" i="4" s="1"/>
  <c r="S44" i="4"/>
  <c r="S47" i="4" s="1"/>
  <c r="AE44" i="8"/>
  <c r="AE56" i="8"/>
  <c r="S42" i="5"/>
  <c r="R50" i="4"/>
  <c r="R52" i="4" s="1"/>
  <c r="R53" i="4"/>
  <c r="R55" i="4" s="1"/>
  <c r="AD46" i="8"/>
  <c r="AD49" i="8" s="1"/>
  <c r="AD45" i="8"/>
  <c r="AD48" i="8" s="1"/>
  <c r="AD50" i="8" s="1"/>
  <c r="R53" i="5" l="1"/>
  <c r="R55" i="5" s="1"/>
  <c r="R50" i="5"/>
  <c r="R52" i="5" s="1"/>
  <c r="S43" i="5"/>
  <c r="S46" i="5" s="1"/>
  <c r="S44" i="5"/>
  <c r="S47" i="5" s="1"/>
  <c r="S53" i="4"/>
  <c r="S55" i="4" s="1"/>
  <c r="S50" i="4"/>
  <c r="S52" i="4" s="1"/>
  <c r="AF44" i="8"/>
  <c r="AD55" i="8"/>
  <c r="AD57" i="8" s="1"/>
  <c r="AD52" i="8"/>
  <c r="AD54" i="8" s="1"/>
  <c r="AH53" i="8"/>
  <c r="AH60" i="8"/>
  <c r="AH61" i="8" s="1"/>
  <c r="AH63" i="8" s="1"/>
  <c r="AI39" i="8"/>
  <c r="AH40" i="8"/>
  <c r="AH42" i="8" s="1"/>
  <c r="AF56" i="8"/>
  <c r="AE46" i="8"/>
  <c r="AE49" i="8" s="1"/>
  <c r="AE45" i="8"/>
  <c r="AE48" i="8" s="1"/>
  <c r="AE50" i="8" s="1"/>
  <c r="AH44" i="8" l="1"/>
  <c r="AF46" i="8"/>
  <c r="AF49" i="8" s="1"/>
  <c r="AF45" i="8"/>
  <c r="AF48" i="8" s="1"/>
  <c r="AF50" i="8" s="1"/>
  <c r="AI53" i="8"/>
  <c r="AI60" i="8"/>
  <c r="AI61" i="8" s="1"/>
  <c r="AI63" i="8" s="1"/>
  <c r="AJ39" i="8"/>
  <c r="AI40" i="8"/>
  <c r="AI42" i="8" s="1"/>
  <c r="S48" i="5"/>
  <c r="AH56" i="8"/>
  <c r="AE52" i="8"/>
  <c r="AE54" i="8" s="1"/>
  <c r="AE55" i="8"/>
  <c r="AE57" i="8" s="1"/>
  <c r="AI56" i="8" l="1"/>
  <c r="AJ53" i="8"/>
  <c r="AJ60" i="8"/>
  <c r="AJ61" i="8" s="1"/>
  <c r="AJ63" i="8" s="1"/>
  <c r="AK39" i="8"/>
  <c r="AJ40" i="8"/>
  <c r="AJ42" i="8" s="1"/>
  <c r="AF52" i="8"/>
  <c r="AF54" i="8" s="1"/>
  <c r="AF55" i="8"/>
  <c r="AF57" i="8" s="1"/>
  <c r="S53" i="5"/>
  <c r="S55" i="5" s="1"/>
  <c r="S50" i="5"/>
  <c r="S52" i="5" s="1"/>
  <c r="AI44" i="8"/>
  <c r="AH45" i="8"/>
  <c r="AH48" i="8" s="1"/>
  <c r="AH46" i="8"/>
  <c r="AH49" i="8" s="1"/>
  <c r="AJ44" i="8" l="1"/>
  <c r="AK53" i="8"/>
  <c r="AK60" i="8"/>
  <c r="AK61" i="8" s="1"/>
  <c r="AK63" i="8" s="1"/>
  <c r="AK40" i="8"/>
  <c r="AK42" i="8" s="1"/>
  <c r="AH50" i="8"/>
  <c r="AJ56" i="8"/>
  <c r="AI45" i="8"/>
  <c r="AI48" i="8" s="1"/>
  <c r="AI50" i="8" s="1"/>
  <c r="AI46" i="8"/>
  <c r="AI49" i="8" s="1"/>
  <c r="AH55" i="8" l="1"/>
  <c r="AH57" i="8" s="1"/>
  <c r="AH52" i="8"/>
  <c r="AH54" i="8" s="1"/>
  <c r="AK56" i="8"/>
  <c r="AK44" i="8"/>
  <c r="AI55" i="8"/>
  <c r="AI57" i="8" s="1"/>
  <c r="AI52" i="8"/>
  <c r="AI54" i="8" s="1"/>
  <c r="AJ45" i="8"/>
  <c r="AJ48" i="8" s="1"/>
  <c r="AJ46" i="8"/>
  <c r="AJ49" i="8" s="1"/>
  <c r="AK45" i="8" l="1"/>
  <c r="AK48" i="8" s="1"/>
  <c r="AK50" i="8" s="1"/>
  <c r="AK46" i="8"/>
  <c r="AK49" i="8" s="1"/>
  <c r="AJ50" i="8"/>
  <c r="AJ52" i="8" l="1"/>
  <c r="AJ54" i="8" s="1"/>
  <c r="AJ55" i="8"/>
  <c r="AJ57" i="8" s="1"/>
  <c r="AK55" i="8"/>
  <c r="AK57" i="8" s="1"/>
  <c r="AK52" i="8"/>
  <c r="AK54" i="8" s="1"/>
</calcChain>
</file>

<file path=xl/sharedStrings.xml><?xml version="1.0" encoding="utf-8"?>
<sst xmlns="http://schemas.openxmlformats.org/spreadsheetml/2006/main" count="1736" uniqueCount="467">
  <si>
    <t>１）改良地盤の鉛直支持力の検討</t>
  </si>
  <si>
    <t>（3）改良地盤の許容鉛直支持力の検討結果</t>
  </si>
  <si>
    <t>（1）改良地盤の許容鉛直支持力の算定</t>
  </si>
  <si>
    <t>qa=</t>
  </si>
  <si>
    <t>min ( qa1, qa2 )</t>
  </si>
  <si>
    <t>基礎符号</t>
  </si>
  <si>
    <t>F1</t>
  </si>
  <si>
    <t>F2</t>
  </si>
  <si>
    <t>F3</t>
  </si>
  <si>
    <t>F4</t>
  </si>
  <si>
    <t>位置</t>
  </si>
  <si>
    <t>C-D</t>
  </si>
  <si>
    <t>2-B</t>
  </si>
  <si>
    <t>6-C</t>
  </si>
  <si>
    <t>5-C</t>
  </si>
  <si>
    <t>5-B</t>
  </si>
  <si>
    <t>＜複合地盤としての鉛直支持力機構より求められる鉛直支持力度qa1＞</t>
  </si>
  <si>
    <t>改良体
概要</t>
  </si>
  <si>
    <t>改良体の直径</t>
  </si>
  <si>
    <t>d</t>
  </si>
  <si>
    <t>[m]</t>
  </si>
  <si>
    <t>qa1=</t>
  </si>
  <si>
    <t>1 / Fs { qd・Ab + Σ ( τdi ・ hi ) Ls } / Af</t>
  </si>
  <si>
    <t>改良体の間隔</t>
  </si>
  <si>
    <t>d'</t>
  </si>
  <si>
    <t>改良体長さ</t>
  </si>
  <si>
    <t>L</t>
  </si>
  <si>
    <t>qa：</t>
  </si>
  <si>
    <t>改良地盤の許容鉛直支持力</t>
  </si>
  <si>
    <t>改良体の設計基準強度</t>
  </si>
  <si>
    <t>Fc</t>
  </si>
  <si>
    <t>[kN/m2]</t>
  </si>
  <si>
    <t>qa1：</t>
  </si>
  <si>
    <t>複合地盤としての鉛直力支持力機構より求まる許容鉛直支持力度</t>
  </si>
  <si>
    <t>改良下部地盤</t>
  </si>
  <si>
    <t>粘着力</t>
  </si>
  <si>
    <t>C</t>
  </si>
  <si>
    <t>qa2：</t>
  </si>
  <si>
    <t>改良体が独立して支持するとした場合の鉛直支持力機構より求まる許容鉛直支持力度</t>
  </si>
  <si>
    <t>内部摩擦角</t>
  </si>
  <si>
    <t>φ</t>
  </si>
  <si>
    <t>[°]</t>
  </si>
  <si>
    <t>qd：</t>
  </si>
  <si>
    <t>下部地盤における極限鉛直支持力度</t>
  </si>
  <si>
    <t>下部地盤のγ（水中）</t>
  </si>
  <si>
    <t>γ1</t>
  </si>
  <si>
    <t>[kN/m3]</t>
  </si>
  <si>
    <t>Ab：</t>
  </si>
  <si>
    <t>改良地盤の底面積</t>
  </si>
  <si>
    <t>改良体先端平均N値</t>
  </si>
  <si>
    <t>N</t>
  </si>
  <si>
    <t>τdi：</t>
  </si>
  <si>
    <t>改良地盤周面に作用する許容周面摩擦力度</t>
  </si>
  <si>
    <t>ﾌｰﾁﾝｸﾞ巾(短辺）</t>
  </si>
  <si>
    <t>Bb</t>
  </si>
  <si>
    <t>hi：</t>
  </si>
  <si>
    <t>層厚</t>
  </si>
  <si>
    <t>ﾌｰﾁﾝｸﾞ奥行</t>
  </si>
  <si>
    <t>Lb</t>
  </si>
  <si>
    <t>Ls：</t>
  </si>
  <si>
    <t>改良地盤の外周の長さ</t>
  </si>
  <si>
    <t>改良体本数</t>
  </si>
  <si>
    <t>n</t>
  </si>
  <si>
    <t>[本]</t>
  </si>
  <si>
    <t>改良体の面積（一本）</t>
  </si>
  <si>
    <t>Ap</t>
  </si>
  <si>
    <t>[m2]</t>
  </si>
  <si>
    <t>Ru：</t>
  </si>
  <si>
    <t>改良体の極限鉛直支持力</t>
  </si>
  <si>
    <t>ﾌｰﾁﾝｸﾞ面積</t>
  </si>
  <si>
    <t>Af</t>
  </si>
  <si>
    <t>n：</t>
  </si>
  <si>
    <t>改良地盤にある改良体の本数</t>
  </si>
  <si>
    <t>改良地盤の面積</t>
  </si>
  <si>
    <t>Ab</t>
  </si>
  <si>
    <t>Af：</t>
  </si>
  <si>
    <t>基礎スラブ底面積</t>
  </si>
  <si>
    <t>改良体の面積</t>
  </si>
  <si>
    <t>ΣAp</t>
  </si>
  <si>
    <t>Fs：</t>
  </si>
  <si>
    <t>安全率</t>
  </si>
  <si>
    <t>下部地盤より上方のγ</t>
  </si>
  <si>
    <t>γ2</t>
  </si>
  <si>
    <t>常時荷重に対して</t>
  </si>
  <si>
    <t>最低地盤から下部地盤の深さ</t>
  </si>
  <si>
    <t>D'f</t>
  </si>
  <si>
    <t>極限周面摩擦力</t>
  </si>
  <si>
    <t>Σ τdi ・hi</t>
  </si>
  <si>
    <t>[kN/m]</t>
  </si>
  <si>
    <t>qd=</t>
  </si>
  <si>
    <t>ic・α・c・Nc+iγ・β・γ1・Bb・Nγ+iq・γ2・D'f・Nq</t>
  </si>
  <si>
    <t>改良体極限周面摩擦力度</t>
  </si>
  <si>
    <t>Lτdi</t>
  </si>
  <si>
    <t>ic=</t>
  </si>
  <si>
    <t>iq=</t>
  </si>
  <si>
    <t>(1-θ/90）2</t>
  </si>
  <si>
    <t>Sτdi</t>
  </si>
  <si>
    <t>iγ=</t>
  </si>
  <si>
    <t>(1-θ/fφ）2</t>
  </si>
  <si>
    <t>内部摩擦角に応じた
支持力係数</t>
  </si>
  <si>
    <t>Nc</t>
  </si>
  <si>
    <t>Nγ</t>
  </si>
  <si>
    <t>下部地盤における地盤の極限鉛直支持力</t>
  </si>
  <si>
    <t>Nq</t>
  </si>
  <si>
    <t>θ：</t>
  </si>
  <si>
    <t>荷重の傾斜角</t>
  </si>
  <si>
    <t>複合地盤qa1</t>
  </si>
  <si>
    <t>ﾌｰﾁﾝｸﾞ形状係数</t>
  </si>
  <si>
    <t>α</t>
  </si>
  <si>
    <t>φ：</t>
  </si>
  <si>
    <t>下部地盤の内部摩擦角（度）</t>
  </si>
  <si>
    <t>β</t>
  </si>
  <si>
    <t>Bb：</t>
  </si>
  <si>
    <t>改良地盤の短辺または短径の長さ</t>
  </si>
  <si>
    <t>改良地盤短辺長</t>
  </si>
  <si>
    <t>Lb：</t>
  </si>
  <si>
    <t>改良地盤の長辺または長径の長さ</t>
  </si>
  <si>
    <t>補正係数</t>
  </si>
  <si>
    <t>ic=iγ=iq</t>
  </si>
  <si>
    <t>α・β：</t>
  </si>
  <si>
    <t>改良地盤の形状係数</t>
  </si>
  <si>
    <t>極限鉛直支持力度</t>
  </si>
  <si>
    <t>qd</t>
  </si>
  <si>
    <t>c：</t>
  </si>
  <si>
    <t>下部地盤の粘着力</t>
  </si>
  <si>
    <t>Σ ( τdi ・ hi ) Ls</t>
  </si>
  <si>
    <t>[kN]</t>
  </si>
  <si>
    <t>Nc・Nγ・Nq：</t>
  </si>
  <si>
    <t>地盤の内部摩擦角に応じた支持力係数（表A）</t>
  </si>
  <si>
    <t>常時鉛直支持力度</t>
  </si>
  <si>
    <t>qa1(Fs=3)</t>
  </si>
  <si>
    <t>γ1：</t>
  </si>
  <si>
    <t>下部地盤の単位体積重量。地下水位以下にある部分については、水中単位体積重量を用いる。</t>
  </si>
  <si>
    <t>改良体
独立qa2</t>
  </si>
  <si>
    <t>改良体先端極限鉛直支持力</t>
  </si>
  <si>
    <t>Rpu</t>
  </si>
  <si>
    <t>γ2：</t>
  </si>
  <si>
    <t>下部地盤より上方にある地盤の平均単位体積重量。地下水位以下にある部分については、</t>
  </si>
  <si>
    <t>ψ・Σ τdi ・hi</t>
  </si>
  <si>
    <t>水中単位体積重量を用いる。</t>
  </si>
  <si>
    <t>改良体極限鉛直支持力</t>
  </si>
  <si>
    <t>Ru</t>
  </si>
  <si>
    <t>D'f：</t>
  </si>
  <si>
    <t>基礎に近接した最低地盤面から下部地盤までの深さ</t>
  </si>
  <si>
    <t>qa2(Fs=3)</t>
  </si>
  <si>
    <t>ic・iγ・iq：</t>
  </si>
  <si>
    <t>基礎に作用する荷重の鉛直方向に対する傾斜角に応じて次式により計算した値</t>
  </si>
  <si>
    <t>改良体qa</t>
  </si>
  <si>
    <t>qa</t>
  </si>
  <si>
    <t>＝</t>
  </si>
  <si>
    <t>常時鉛直応力度</t>
  </si>
  <si>
    <t>δe</t>
  </si>
  <si>
    <t>ただし、改良部分の厚さが薄く、基礎と一体となって挙動する恐れのない限り、</t>
  </si>
  <si>
    <t>支持力検定値（δe/qa）</t>
  </si>
  <si>
    <t>基礎底で改良体に作用する荷重の傾斜角を0として支障がないので、ic = iq = iγ= 1とする。</t>
  </si>
  <si>
    <t>改良体の
応力チェック</t>
  </si>
  <si>
    <t>Fs</t>
  </si>
  <si>
    <t>「改訂版　建築物のための改良地盤の設計及び品質管理指針（日本建築センター）参照」</t>
  </si>
  <si>
    <t>許容圧縮応力度</t>
  </si>
  <si>
    <t>fc</t>
  </si>
  <si>
    <t>改良率</t>
  </si>
  <si>
    <t>ap</t>
  </si>
  <si>
    <t>極限周面摩擦力度</t>
  </si>
  <si>
    <t>応力集中係数</t>
  </si>
  <si>
    <t>μp</t>
  </si>
  <si>
    <t>粘性土の場合</t>
  </si>
  <si>
    <t>τd=</t>
  </si>
  <si>
    <t>c</t>
  </si>
  <si>
    <t>または</t>
  </si>
  <si>
    <t>qu/2</t>
  </si>
  <si>
    <t>改良体頭部鉛直応力</t>
  </si>
  <si>
    <t>qp</t>
  </si>
  <si>
    <t>砂質土の場合</t>
  </si>
  <si>
    <t>10sN/3</t>
  </si>
  <si>
    <t>応力検定値（qp/fc）</t>
  </si>
  <si>
    <t>粘性土の粘着力</t>
  </si>
  <si>
    <t>c=</t>
  </si>
  <si>
    <t>qu：</t>
  </si>
  <si>
    <t>粘性土の一軸圧縮強さ</t>
  </si>
  <si>
    <t>qu=</t>
  </si>
  <si>
    <t>12.5cN</t>
  </si>
  <si>
    <t>cN：</t>
  </si>
  <si>
    <t>粘性土のN値</t>
  </si>
  <si>
    <t>（平均値）</t>
  </si>
  <si>
    <t>sN：</t>
  </si>
  <si>
    <t>砂質土のN値</t>
  </si>
  <si>
    <t>粘性土</t>
  </si>
  <si>
    <t>m</t>
  </si>
  <si>
    <t>砂質土</t>
  </si>
  <si>
    <t>＜改良体が独立して支持するものとしての鉛直支持機構より求められる鉛直支持力度qa2＞</t>
  </si>
  <si>
    <t>qa2=</t>
  </si>
  <si>
    <t>1 / Fs ( n ・Ru ) / Af</t>
  </si>
  <si>
    <t>Ru=</t>
  </si>
  <si>
    <t>Rpu + ψ・Σ τdi ・hi</t>
  </si>
  <si>
    <t>改良体の極限支持力</t>
  </si>
  <si>
    <t>Rpu：</t>
  </si>
  <si>
    <t>改良体先端部における許容鉛直支持力度</t>
  </si>
  <si>
    <t>ψ：</t>
  </si>
  <si>
    <t>改良体の周長</t>
  </si>
  <si>
    <t>改良体先端部における許容鉛直支持力は次式により算定を行う。</t>
  </si>
  <si>
    <t>Rpu=75・N・Ap</t>
  </si>
  <si>
    <t>Rpu=6c・Ap</t>
  </si>
  <si>
    <t>Rpu=</t>
  </si>
  <si>
    <t>N=</t>
  </si>
  <si>
    <t>改良体より下に1d、上に1d（地表面を上限とする）の範囲のN値の平均値</t>
  </si>
  <si>
    <t>（dは改良体の最小幅、円形の場合は直径とする）</t>
  </si>
  <si>
    <t>ボーリングNo.1</t>
  </si>
  <si>
    <t>(25*0.5+13*1.5)/2</t>
  </si>
  <si>
    <t>∴安全を考慮し　N=15とする。</t>
  </si>
  <si>
    <t>ｃ=</t>
  </si>
  <si>
    <t>粘性土層の粘着力</t>
  </si>
  <si>
    <t>Ap=</t>
  </si>
  <si>
    <t>改良体の先端有効断面積</t>
  </si>
  <si>
    <t>（2）改良体の長期鉛直応力度の検討</t>
  </si>
  <si>
    <t>＜許容圧縮応力度＞</t>
  </si>
  <si>
    <t>fc=</t>
  </si>
  <si>
    <t>Fc/Fs</t>
  </si>
  <si>
    <t>安全率 （常時：3）</t>
  </si>
  <si>
    <t>Fc：</t>
  </si>
  <si>
    <t>設計基準強度</t>
  </si>
  <si>
    <t>＜改良体頭部に生じる鉛直応力＞</t>
  </si>
  <si>
    <t>qp=</t>
  </si>
  <si>
    <t>μp・δe</t>
  </si>
  <si>
    <t>δe:</t>
  </si>
  <si>
    <t>設計接地圧　[kN/m2]</t>
  </si>
  <si>
    <t>μp:</t>
  </si>
  <si>
    <t>μp=</t>
  </si>
  <si>
    <t>1/ap</t>
  </si>
  <si>
    <t>ap：フーチング底面内の改良率</t>
  </si>
  <si>
    <t>ap=(Σap)/Af</t>
  </si>
  <si>
    <t>Σap:</t>
  </si>
  <si>
    <t>基礎スラブ底面にある改良体の面積</t>
  </si>
  <si>
    <t>２）改良地盤の水平支持力の検討</t>
  </si>
  <si>
    <t>(8) 改良地盤の水平支持力の検討結果</t>
  </si>
  <si>
    <t>(1)  1本の改良体に作用する水平荷重Qp</t>
  </si>
  <si>
    <t>F5</t>
  </si>
  <si>
    <t>Qp = {(NL+NE) ・地震時変動率[上部] +地震時変動率[基礎] ・Wf } /n</t>
  </si>
  <si>
    <t>(kN)</t>
  </si>
  <si>
    <t>改良体に作用する
水平荷重</t>
  </si>
  <si>
    <t>B</t>
  </si>
  <si>
    <t>NL :上鉛直荷重時軸力</t>
  </si>
  <si>
    <t>D</t>
  </si>
  <si>
    <t>地震時変動率[上部]</t>
  </si>
  <si>
    <t>地域係数Ｚ</t>
  </si>
  <si>
    <t>Df</t>
  </si>
  <si>
    <t>地震時変動率[基礎]</t>
  </si>
  <si>
    <t>NL</t>
  </si>
  <si>
    <t>Wf :基礎重量</t>
  </si>
  <si>
    <t>NE</t>
  </si>
  <si>
    <t>n :改良体本数</t>
  </si>
  <si>
    <t>ΣN</t>
  </si>
  <si>
    <t>Wf</t>
  </si>
  <si>
    <t>(2) 原地盤の水平方向地盤反力係数kh</t>
  </si>
  <si>
    <t>kh = (1/30) ・α・Eo・（b/30）-3/4・102</t>
  </si>
  <si>
    <t>Z</t>
  </si>
  <si>
    <t>α:係数</t>
  </si>
  <si>
    <t>Qp</t>
  </si>
  <si>
    <t>[kN/本]</t>
  </si>
  <si>
    <t>Eo:地盤のヤング率 (=7・N・100 kN/㎡）</t>
  </si>
  <si>
    <t>水平方向
地盤反力
係数</t>
  </si>
  <si>
    <t>b:改良体幅（直角方向）</t>
  </si>
  <si>
    <t>(m)</t>
  </si>
  <si>
    <t>上部N値</t>
  </si>
  <si>
    <t>Eo</t>
  </si>
  <si>
    <t>(3) 群杭効果を考慮した地盤反力係数k'h</t>
  </si>
  <si>
    <t>b</t>
  </si>
  <si>
    <t>イ)加力直角方向め群杭係数μ1</t>
  </si>
  <si>
    <t>kh</t>
  </si>
  <si>
    <t xml:space="preserve">μ1' = {1- 0.2・(3-R) } </t>
  </si>
  <si>
    <t>群杭効果を考慮した
地盤反力係数</t>
  </si>
  <si>
    <t>R:d/b</t>
  </si>
  <si>
    <t>b:改良体幅　d:改良体間隔 (m)</t>
  </si>
  <si>
    <t>μ1'' =kh1''/kh</t>
  </si>
  <si>
    <t>R</t>
  </si>
  <si>
    <t>kh'' = (1/30) ・α・Eo・（B/30）-3/4・102</t>
  </si>
  <si>
    <t>μ1'</t>
  </si>
  <si>
    <t>kh''</t>
  </si>
  <si>
    <t>B:改良体幅</t>
  </si>
  <si>
    <t>(cm)</t>
  </si>
  <si>
    <t>μ1''</t>
  </si>
  <si>
    <t xml:space="preserve">μ1= max(μ1',μ1'') </t>
  </si>
  <si>
    <t>μ1</t>
  </si>
  <si>
    <t>μ2</t>
  </si>
  <si>
    <t>ロ)加力方向の群杭係数μ2</t>
  </si>
  <si>
    <t>μ</t>
  </si>
  <si>
    <t xml:space="preserve">μ2 = {1- 0.3・(3-R) } </t>
  </si>
  <si>
    <t xml:space="preserve">k'h </t>
  </si>
  <si>
    <t>曲げモーメントの算定</t>
  </si>
  <si>
    <t>Ep</t>
  </si>
  <si>
    <t>μ = μ 1 ・μ 2</t>
  </si>
  <si>
    <t>Ip</t>
  </si>
  <si>
    <t>[m３]</t>
  </si>
  <si>
    <t>k'h = μ ・kh</t>
  </si>
  <si>
    <t>(4) 曲げモーメントの算定</t>
  </si>
  <si>
    <t>z</t>
  </si>
  <si>
    <t>地中部最大曲げモーメントMmax , 杭頭部曲げモーメントMoは,</t>
  </si>
  <si>
    <t>RMmax</t>
  </si>
  <si>
    <t>Mmax= ( Qp/ 2β)・RMmax</t>
  </si>
  <si>
    <t>(kNm)</t>
  </si>
  <si>
    <t>RMo</t>
  </si>
  <si>
    <t>Mo= ( Qp/ 2β)・RMo</t>
  </si>
  <si>
    <t>αr</t>
  </si>
  <si>
    <t>Md=max(Mmax,Mo)</t>
  </si>
  <si>
    <t>Mmax</t>
  </si>
  <si>
    <t>[kN・m]</t>
  </si>
  <si>
    <t>Qp : 1本の改良体の作用する水平荷重</t>
  </si>
  <si>
    <t>Mo</t>
  </si>
  <si>
    <t>β: (k'h・b/4Ep・Ip)1/4</t>
  </si>
  <si>
    <t>Md</t>
  </si>
  <si>
    <t>Ep : 改良体のヤング率　（180Fc kN/㎡）</t>
  </si>
  <si>
    <t>(kN/㎡）</t>
  </si>
  <si>
    <t>縁応力度の
チェック</t>
  </si>
  <si>
    <t>Wp</t>
  </si>
  <si>
    <t>Ip:改良体の断面２次モーメント</t>
  </si>
  <si>
    <t>(m3）</t>
  </si>
  <si>
    <t>σmax</t>
  </si>
  <si>
    <t>RMmax:RMo:曲げモーメントに関する係数</t>
  </si>
  <si>
    <t>αr:杭頭固定度</t>
  </si>
  <si>
    <t>※杭頭曲げは生じないものとする。</t>
  </si>
  <si>
    <t>fc&gt;σmax</t>
  </si>
  <si>
    <t>σmin</t>
  </si>
  <si>
    <t>(5) 曲げによる縁応力度の算定</t>
  </si>
  <si>
    <t>ft</t>
  </si>
  <si>
    <t>σmax= （Wp/Ap） + Md/(2Ip/b)</t>
  </si>
  <si>
    <t>ft&lt;σmin</t>
  </si>
  <si>
    <t>σmin= （Wp/Ap） - Md/(2Ip/b)</t>
  </si>
  <si>
    <t>せん断
応力度の
チェック</t>
  </si>
  <si>
    <t>Wp:改良体にかかる地震時鉛直荷重</t>
  </si>
  <si>
    <t>(kN）</t>
  </si>
  <si>
    <t>σn</t>
  </si>
  <si>
    <t xml:space="preserve">    Wp=(NL+NE+Wf)/n</t>
  </si>
  <si>
    <t>Fr</t>
  </si>
  <si>
    <t>n:改良体本数</t>
  </si>
  <si>
    <t>fr</t>
  </si>
  <si>
    <t>τmax</t>
  </si>
  <si>
    <t>(6) 縁応力度のチェック</t>
  </si>
  <si>
    <t>fr&gt;τmax</t>
  </si>
  <si>
    <t>許容圧縮応力度fc=2/3・Fc</t>
  </si>
  <si>
    <t>&gt;σmax</t>
  </si>
  <si>
    <t>許容引張応力度ft=-0.2・fc</t>
  </si>
  <si>
    <t>&lt;σmin</t>
  </si>
  <si>
    <t>(7) せん断応力度のチェック</t>
  </si>
  <si>
    <t>τmax=χ・τ=χ・(Qp/Ap)</t>
  </si>
  <si>
    <t>設計せん断強さ Fr = min｛(0.3Fc+σn・tanφ), 0.5Fc｝</t>
  </si>
  <si>
    <t>設計せん断応力度fr=2/3・Fr  &gt; τmax</t>
  </si>
  <si>
    <t>χ:形状係数（円形1.33）</t>
  </si>
  <si>
    <t>σn:せん断に作用する垂直応力（Qp/Ap）</t>
  </si>
  <si>
    <t>φ:改良体の内部摩擦角（30°）</t>
  </si>
  <si>
    <t>Ap:一本当りの改良体の面積</t>
  </si>
  <si>
    <t>J1</t>
  </si>
  <si>
    <t>J2</t>
  </si>
  <si>
    <t>J3</t>
  </si>
  <si>
    <t>JA</t>
  </si>
  <si>
    <t>JB</t>
  </si>
  <si>
    <t>JC</t>
  </si>
  <si>
    <t>JD</t>
  </si>
  <si>
    <t>JE</t>
  </si>
  <si>
    <t>軸力</t>
  </si>
  <si>
    <t>kN</t>
  </si>
  <si>
    <t>Q(上部地震力）：</t>
  </si>
  <si>
    <t>kN　（一貫計算ヨリ）</t>
  </si>
  <si>
    <t>K=</t>
  </si>
  <si>
    <t>Qｆ(下部地震力）：</t>
  </si>
  <si>
    <t>Z=</t>
  </si>
  <si>
    <t>ΣQ（作用地震力）：</t>
  </si>
  <si>
    <t>W1=</t>
  </si>
  <si>
    <t>Qf=K*Z*W1=</t>
  </si>
  <si>
    <t>X通り</t>
  </si>
  <si>
    <t>Y通り</t>
  </si>
  <si>
    <t>ｐ＝N/ΣN</t>
  </si>
  <si>
    <t>ΣQ</t>
  </si>
  <si>
    <t>Q=p*ΣQ</t>
  </si>
  <si>
    <t>m2</t>
  </si>
  <si>
    <t>改良径</t>
  </si>
  <si>
    <t>X方向</t>
  </si>
  <si>
    <t>1-A</t>
  </si>
  <si>
    <t>2-A</t>
  </si>
  <si>
    <t>3-A</t>
  </si>
  <si>
    <t>4-A</t>
  </si>
  <si>
    <t>1-A+5250</t>
  </si>
  <si>
    <t>2-A+5250</t>
  </si>
  <si>
    <t>3-A+5250</t>
  </si>
  <si>
    <t>4-A+5250</t>
  </si>
  <si>
    <t>1-B</t>
  </si>
  <si>
    <t>3-B</t>
  </si>
  <si>
    <t>4-B</t>
  </si>
  <si>
    <t>1-B+5250</t>
  </si>
  <si>
    <t>2-B+5250</t>
  </si>
  <si>
    <t>3-B+5250</t>
  </si>
  <si>
    <t>4-B+5250</t>
  </si>
  <si>
    <t>1-C</t>
  </si>
  <si>
    <t>2-C</t>
  </si>
  <si>
    <t>3-C</t>
  </si>
  <si>
    <t>4-C</t>
  </si>
  <si>
    <t>Q</t>
  </si>
  <si>
    <t>W1（基礎）</t>
  </si>
  <si>
    <t>Q1=0.16W1</t>
  </si>
  <si>
    <t>ΣQp=Q+Q1</t>
  </si>
  <si>
    <t>ΣNs</t>
  </si>
  <si>
    <t>Ns=NL+NE</t>
  </si>
  <si>
    <t>ΣQp・Ns/ΣNs</t>
  </si>
  <si>
    <t>Kbase=0.1Z</t>
  </si>
  <si>
    <t>Kbase・Wf</t>
  </si>
  <si>
    <t>QP</t>
  </si>
  <si>
    <t>Qp/n</t>
  </si>
  <si>
    <t>Y方向</t>
  </si>
  <si>
    <t>Q1=0.1W1</t>
  </si>
  <si>
    <t>線形弾性地盤反力法による杭の計算の各種係数値</t>
  </si>
  <si>
    <t>固定度</t>
  </si>
  <si>
    <t>αr=</t>
  </si>
  <si>
    <t>半固定</t>
  </si>
  <si>
    <t>自由</t>
  </si>
  <si>
    <t>Ｎ</t>
  </si>
  <si>
    <t>￠</t>
  </si>
  <si>
    <t>Ｎc</t>
  </si>
  <si>
    <t>Ｎr</t>
  </si>
  <si>
    <t>Ｎq</t>
  </si>
  <si>
    <t>Rmax</t>
  </si>
  <si>
    <t>Rm0</t>
  </si>
  <si>
    <t>R1m</t>
  </si>
  <si>
    <t>Ry0</t>
  </si>
  <si>
    <t>0,717</t>
  </si>
  <si>
    <t>ΣQp＝</t>
  </si>
  <si>
    <t>ka</t>
  </si>
  <si>
    <t>vd</t>
  </si>
  <si>
    <t>kc</t>
  </si>
  <si>
    <t>vc</t>
  </si>
  <si>
    <t>XL</t>
  </si>
  <si>
    <t>合格判定値</t>
  </si>
  <si>
    <t>Xf</t>
  </si>
  <si>
    <t>配合強度</t>
  </si>
  <si>
    <t>αt</t>
  </si>
  <si>
    <t>割増係数</t>
  </si>
  <si>
    <t>検査手法Aの合格判定係数</t>
  </si>
  <si>
    <t>ｋ</t>
  </si>
  <si>
    <t>合格判定係数</t>
  </si>
  <si>
    <t>σd</t>
  </si>
  <si>
    <t>設計で設定するコアの一軸圧縮強さの標準偏差</t>
  </si>
  <si>
    <t>σ</t>
  </si>
  <si>
    <t>標準偏差</t>
  </si>
  <si>
    <t>Vd</t>
  </si>
  <si>
    <t>設計で設定するコアの一軸圧縮強さの変動係数</t>
  </si>
  <si>
    <t>XL＝Fc+k・σ</t>
  </si>
  <si>
    <t>XL＝Fc+ka・Fc・Vd/(1-1.3Vd)</t>
  </si>
  <si>
    <t>採取ヶ所数N</t>
  </si>
  <si>
    <t>検査手法Aの合格判定係数ka</t>
  </si>
  <si>
    <t>Fc・Vd</t>
  </si>
  <si>
    <t>1-1.3Vd</t>
  </si>
  <si>
    <t>ka・σ</t>
  </si>
  <si>
    <t>XL=Fc+ka・σ</t>
  </si>
  <si>
    <t>quc=Xf=XL+kc・σ/(N^0.5)</t>
  </si>
  <si>
    <t>quc</t>
  </si>
  <si>
    <t>現場で築造されたロットの平均値</t>
  </si>
  <si>
    <t>quc=XL/(1-kc・Vc/(N^0.5))</t>
  </si>
  <si>
    <t>σc</t>
  </si>
  <si>
    <t>現場で設定するコアの一軸圧縮強さの標準偏差</t>
  </si>
  <si>
    <t>Vc</t>
  </si>
  <si>
    <t>合格確率を確保するための係数（標準正規確率変数）</t>
  </si>
  <si>
    <t>kc=φ^(-1)(L(p))</t>
  </si>
  <si>
    <t>φ-1</t>
  </si>
  <si>
    <t>L(p)</t>
  </si>
  <si>
    <t>φ^(-1)</t>
  </si>
  <si>
    <t>(L(p))</t>
  </si>
  <si>
    <t>αt＝</t>
  </si>
  <si>
    <t>Xf/Fc</t>
  </si>
  <si>
    <t>1/Fc・XL/(1-kc・Vc/N^0.5)</t>
  </si>
  <si>
    <t>(1+ka・Vd/(1-1.3Vd))/(1-kc・Vc/N^0.5)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</si>
</sst>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000"/>
    <numFmt numFmtId="177" formatCode="###&quot;=&quot;"/>
    <numFmt numFmtId="178" formatCode="0_ "/>
    <numFmt numFmtId="179" formatCode="0.00_ "/>
    <numFmt numFmtId="180" formatCode="0.000_ "/>
    <numFmt numFmtId="181" formatCode="0.0_ "/>
    <numFmt numFmtId="182" formatCode="0;_倀"/>
    <numFmt numFmtId="183" formatCode="0.00;_倀"/>
    <numFmt numFmtId="184" formatCode="#,##0.0;[Red]\-#,##0.0"/>
    <numFmt numFmtId="185" formatCode="0.0"/>
  </numFmts>
  <fonts count="18" x14ac:knownFonts="1">
    <font>
      <sz val="11"/>
      <name val="ＭＳ Ｐゴシック"/>
      <family val="3"/>
      <charset val="128"/>
    </font>
    <font>
      <sz val="6"/>
      <name val="ＭＳ Ｐゴシック"/>
      <family val="3"/>
      <charset val="128"/>
    </font>
    <font>
      <sz val="10"/>
      <name val="ＭＳ Ｐ明朝"/>
      <family val="1"/>
      <charset val="128"/>
    </font>
    <font>
      <sz val="11"/>
      <name val="ＭＳ Ｐ明朝"/>
      <family val="1"/>
      <charset val="128"/>
    </font>
    <font>
      <sz val="9"/>
      <name val="ＭＳ Ｐ明朝"/>
      <family val="1"/>
      <charset val="128"/>
    </font>
    <font>
      <sz val="10"/>
      <name val="ＭＳ 明朝"/>
      <family val="1"/>
      <charset val="128"/>
    </font>
    <font>
      <sz val="11"/>
      <name val="ＭＳ 明朝"/>
      <family val="1"/>
      <charset val="128"/>
    </font>
    <font>
      <sz val="10"/>
      <name val="Times New Roman"/>
      <family val="1"/>
    </font>
    <font>
      <sz val="11"/>
      <name val="Times New Roman"/>
      <family val="1"/>
    </font>
    <font>
      <sz val="14"/>
      <name val="ＭＳ Ｐ明朝"/>
      <family val="1"/>
      <charset val="128"/>
    </font>
    <font>
      <b/>
      <sz val="11"/>
      <name val="Times New Roman"/>
      <family val="1"/>
    </font>
    <font>
      <sz val="9"/>
      <name val="Times New Roman"/>
      <family val="1"/>
    </font>
    <font>
      <sz val="10"/>
      <color indexed="12"/>
      <name val="Times New Roman"/>
      <family val="1"/>
    </font>
    <font>
      <i/>
      <sz val="10"/>
      <name val="Times New Roman"/>
      <family val="1"/>
    </font>
    <font>
      <sz val="11"/>
      <name val="ＭＳ Ｐゴシック"/>
      <family val="3"/>
      <charset val="128"/>
    </font>
    <font>
      <sz val="10"/>
      <name val="Meiryo UI"/>
      <family val="3"/>
      <charset val="128"/>
    </font>
    <font>
      <sz val="10"/>
      <color indexed="12"/>
      <name val="Meiryo UI"/>
      <family val="3"/>
      <charset val="128"/>
    </font>
    <font>
      <i/>
      <sz val="10"/>
      <name val="Meiryo UI"/>
      <family val="3"/>
      <charset val="128"/>
    </font>
  </fonts>
  <fills count="5">
    <fill>
      <patternFill patternType="none"/>
    </fill>
    <fill>
      <patternFill patternType="gray125"/>
    </fill>
    <fill>
      <patternFill patternType="solid">
        <fgColor indexed="41"/>
        <bgColor indexed="64"/>
      </patternFill>
    </fill>
    <fill>
      <patternFill patternType="solid">
        <fgColor theme="8" tint="0.79998168889431442"/>
        <bgColor indexed="64"/>
      </patternFill>
    </fill>
    <fill>
      <patternFill patternType="solid">
        <fgColor theme="2"/>
        <bgColor indexed="64"/>
      </patternFill>
    </fill>
  </fills>
  <borders count="74">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top/>
      <bottom style="hair">
        <color indexed="64"/>
      </bottom>
      <diagonal/>
    </border>
    <border>
      <left/>
      <right style="thin">
        <color indexed="64"/>
      </right>
      <top style="hair">
        <color indexed="64"/>
      </top>
      <bottom style="hair">
        <color indexed="64"/>
      </bottom>
      <diagonal/>
    </border>
  </borders>
  <cellStyleXfs count="2">
    <xf numFmtId="0" fontId="0" fillId="0" borderId="0">
      <alignment vertical="center"/>
    </xf>
    <xf numFmtId="38" fontId="14" fillId="0" borderId="0">
      <alignment vertical="center"/>
    </xf>
  </cellStyleXfs>
  <cellXfs count="584">
    <xf numFmtId="0" fontId="0" fillId="0" borderId="0" xfId="0" applyAlignment="1">
      <alignment vertical="center"/>
    </xf>
    <xf numFmtId="0" fontId="2" fillId="0" borderId="0" xfId="0" applyFont="1" applyAlignment="1">
      <alignment vertical="center"/>
    </xf>
    <xf numFmtId="0" fontId="2" fillId="0" borderId="0" xfId="0" quotePrefix="1"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0" xfId="0" quotePrefix="1" applyFont="1" applyAlignment="1">
      <alignment vertical="center"/>
    </xf>
    <xf numFmtId="0" fontId="8" fillId="0" borderId="2" xfId="0" applyFont="1" applyBorder="1" applyAlignment="1">
      <alignment horizontal="center" vertical="center"/>
    </xf>
    <xf numFmtId="0" fontId="2" fillId="0" borderId="2" xfId="0" applyFont="1" applyBorder="1" applyAlignment="1">
      <alignment horizontal="center" vertical="center" shrinkToFit="1"/>
    </xf>
    <xf numFmtId="0" fontId="2" fillId="0" borderId="3" xfId="0" applyFont="1" applyBorder="1" applyAlignment="1">
      <alignment horizontal="center" vertical="center" shrinkToFit="1"/>
    </xf>
    <xf numFmtId="0" fontId="7" fillId="0" borderId="5" xfId="0" applyFont="1" applyBorder="1" applyAlignment="1">
      <alignment horizontal="center" vertical="center" shrinkToFit="1"/>
    </xf>
    <xf numFmtId="0" fontId="7" fillId="0" borderId="4" xfId="0" applyFont="1" applyBorder="1" applyAlignment="1">
      <alignment horizontal="center" vertical="center" shrinkToFit="1"/>
    </xf>
    <xf numFmtId="0" fontId="5" fillId="0" borderId="3" xfId="0" applyFont="1" applyBorder="1" applyAlignment="1">
      <alignment horizontal="center" vertical="center" shrinkToFit="1"/>
    </xf>
    <xf numFmtId="0" fontId="7" fillId="0" borderId="8" xfId="0" applyFont="1" applyBorder="1" applyAlignment="1">
      <alignment horizontal="center" vertical="center" shrinkToFit="1"/>
    </xf>
    <xf numFmtId="0" fontId="2" fillId="0" borderId="1" xfId="0" applyFont="1" applyBorder="1" applyAlignment="1">
      <alignment horizontal="center" vertical="center" shrinkToFit="1"/>
    </xf>
    <xf numFmtId="0" fontId="7" fillId="0" borderId="10" xfId="0" applyFont="1" applyBorder="1" applyAlignment="1">
      <alignment horizontal="center" vertical="center"/>
    </xf>
    <xf numFmtId="0" fontId="7" fillId="2" borderId="10"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0" borderId="7" xfId="0" applyFont="1" applyBorder="1" applyAlignment="1">
      <alignment horizontal="center" vertical="center"/>
    </xf>
    <xf numFmtId="0" fontId="7" fillId="0" borderId="11" xfId="0" applyFont="1" applyBorder="1" applyAlignment="1">
      <alignment horizontal="center" vertical="center"/>
    </xf>
    <xf numFmtId="0" fontId="6" fillId="0" borderId="0" xfId="0" applyFont="1" applyAlignment="1">
      <alignment vertical="center"/>
    </xf>
    <xf numFmtId="0" fontId="8" fillId="2" borderId="15" xfId="0" applyFont="1" applyFill="1" applyBorder="1" applyAlignment="1">
      <alignment vertical="center"/>
    </xf>
    <xf numFmtId="0" fontId="8" fillId="0" borderId="0" xfId="0" applyFont="1" applyAlignment="1">
      <alignment horizontal="left" vertical="center"/>
    </xf>
    <xf numFmtId="0" fontId="7" fillId="0" borderId="12" xfId="0" applyFont="1" applyBorder="1" applyAlignment="1">
      <alignment horizontal="center" vertical="center"/>
    </xf>
    <xf numFmtId="0" fontId="7" fillId="0" borderId="9" xfId="0"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8" fillId="0" borderId="0" xfId="0" applyFont="1" applyAlignment="1">
      <alignment vertical="center"/>
    </xf>
    <xf numFmtId="0" fontId="8" fillId="0" borderId="16" xfId="0" applyFont="1" applyBorder="1" applyAlignment="1">
      <alignment horizontal="center" vertical="center"/>
    </xf>
    <xf numFmtId="0" fontId="0" fillId="0" borderId="13" xfId="0" applyBorder="1" applyAlignment="1">
      <alignment vertical="center"/>
    </xf>
    <xf numFmtId="0" fontId="0" fillId="0" borderId="14" xfId="0" applyBorder="1" applyAlignment="1">
      <alignment vertical="center"/>
    </xf>
    <xf numFmtId="0" fontId="0" fillId="0" borderId="26" xfId="0" applyBorder="1" applyAlignment="1">
      <alignment vertical="center"/>
    </xf>
    <xf numFmtId="0" fontId="0" fillId="0" borderId="14" xfId="0" applyBorder="1" applyAlignment="1">
      <alignment horizontal="lef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7" fillId="0" borderId="28" xfId="0" applyFont="1" applyBorder="1" applyAlignment="1">
      <alignment horizontal="center" vertical="center"/>
    </xf>
    <xf numFmtId="0" fontId="8" fillId="0" borderId="29" xfId="0" applyFont="1" applyBorder="1" applyAlignment="1">
      <alignment horizontal="center" vertical="center" shrinkToFit="1"/>
    </xf>
    <xf numFmtId="0" fontId="8" fillId="0" borderId="28" xfId="0" applyFont="1" applyBorder="1" applyAlignment="1">
      <alignment horizontal="center" vertical="center"/>
    </xf>
    <xf numFmtId="0" fontId="2" fillId="0" borderId="30" xfId="0" applyFont="1" applyBorder="1" applyAlignment="1">
      <alignment horizontal="center" vertical="center"/>
    </xf>
    <xf numFmtId="0" fontId="8" fillId="0" borderId="30" xfId="0" applyFont="1" applyBorder="1" applyAlignment="1">
      <alignment horizontal="center" vertical="center"/>
    </xf>
    <xf numFmtId="0" fontId="8" fillId="0" borderId="27" xfId="0" applyFont="1" applyBorder="1" applyAlignment="1">
      <alignment horizontal="center" vertical="center"/>
    </xf>
    <xf numFmtId="0" fontId="3" fillId="0" borderId="4" xfId="0" applyFont="1" applyBorder="1" applyAlignment="1">
      <alignment horizontal="center" vertical="center"/>
    </xf>
    <xf numFmtId="0" fontId="9" fillId="0" borderId="0" xfId="0" applyFont="1" applyAlignment="1">
      <alignment vertical="center"/>
    </xf>
    <xf numFmtId="0" fontId="7" fillId="0" borderId="32" xfId="0" applyFont="1" applyBorder="1" applyAlignment="1">
      <alignment horizontal="center" vertical="center" shrinkToFit="1"/>
    </xf>
    <xf numFmtId="0" fontId="7" fillId="0" borderId="34" xfId="0" applyFont="1" applyBorder="1" applyAlignment="1">
      <alignment horizontal="center" vertical="center" shrinkToFit="1"/>
    </xf>
    <xf numFmtId="0" fontId="10" fillId="0" borderId="0" xfId="0" applyFont="1" applyAlignment="1">
      <alignment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8" xfId="0"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vertical="center"/>
    </xf>
    <xf numFmtId="0" fontId="7" fillId="0" borderId="15" xfId="0" applyFont="1" applyBorder="1" applyAlignment="1">
      <alignment horizontal="center" vertical="center"/>
    </xf>
    <xf numFmtId="0" fontId="7" fillId="0" borderId="0" xfId="0" applyFont="1" applyAlignment="1">
      <alignment horizontal="right" vertical="center"/>
    </xf>
    <xf numFmtId="0" fontId="11" fillId="0" borderId="0" xfId="0" applyFont="1" applyAlignment="1">
      <alignment horizontal="center" vertical="center"/>
    </xf>
    <xf numFmtId="0" fontId="7" fillId="0" borderId="1" xfId="0" applyFont="1" applyBorder="1" applyAlignment="1">
      <alignment horizontal="center" vertical="center" shrinkToFit="1"/>
    </xf>
    <xf numFmtId="0" fontId="7" fillId="2" borderId="15" xfId="0" applyFont="1" applyFill="1" applyBorder="1" applyAlignment="1">
      <alignment vertical="center"/>
    </xf>
    <xf numFmtId="0" fontId="7" fillId="0" borderId="0" xfId="0" applyFont="1" applyAlignment="1">
      <alignment vertical="center"/>
    </xf>
    <xf numFmtId="0" fontId="13" fillId="0" borderId="0" xfId="0" applyFont="1" applyAlignment="1">
      <alignment horizontal="center" vertical="center" shrinkToFit="1"/>
    </xf>
    <xf numFmtId="0" fontId="7" fillId="0" borderId="0" xfId="0" applyFont="1" applyAlignment="1">
      <alignment horizontal="center" vertical="center" shrinkToFit="1"/>
    </xf>
    <xf numFmtId="0" fontId="13" fillId="0" borderId="0" xfId="0" applyFont="1" applyAlignment="1">
      <alignment horizontal="center" vertical="center"/>
    </xf>
    <xf numFmtId="0" fontId="7" fillId="0" borderId="0" xfId="0" applyFont="1" applyAlignment="1">
      <alignment vertical="center" shrinkToFit="1"/>
    </xf>
    <xf numFmtId="0" fontId="11" fillId="0" borderId="0" xfId="0" applyFont="1" applyAlignment="1">
      <alignment horizontal="right" vertical="center"/>
    </xf>
    <xf numFmtId="0" fontId="7" fillId="0" borderId="15" xfId="0" applyFont="1" applyBorder="1" applyAlignment="1">
      <alignment vertical="center"/>
    </xf>
    <xf numFmtId="0" fontId="7" fillId="0" borderId="37" xfId="0" applyFont="1" applyBorder="1" applyAlignment="1">
      <alignment vertical="center"/>
    </xf>
    <xf numFmtId="0" fontId="4" fillId="0" borderId="38" xfId="0" applyFont="1" applyBorder="1" applyAlignment="1">
      <alignment vertical="center"/>
    </xf>
    <xf numFmtId="0" fontId="7" fillId="0" borderId="38" xfId="0" applyFont="1" applyBorder="1" applyAlignment="1">
      <alignment vertical="center"/>
    </xf>
    <xf numFmtId="0" fontId="7" fillId="0" borderId="38" xfId="0" applyFont="1" applyBorder="1" applyAlignment="1">
      <alignment horizontal="right" vertical="center"/>
    </xf>
    <xf numFmtId="0" fontId="2" fillId="0" borderId="38" xfId="0" applyFont="1" applyBorder="1" applyAlignment="1">
      <alignment vertical="center"/>
    </xf>
    <xf numFmtId="0" fontId="7" fillId="0" borderId="39" xfId="0" applyFont="1" applyBorder="1" applyAlignment="1">
      <alignment vertical="center"/>
    </xf>
    <xf numFmtId="0" fontId="4" fillId="0" borderId="37" xfId="0" applyFont="1" applyBorder="1" applyAlignment="1">
      <alignment vertical="center"/>
    </xf>
    <xf numFmtId="0" fontId="7" fillId="0" borderId="37" xfId="0" applyFont="1" applyBorder="1" applyAlignment="1">
      <alignment horizontal="right" vertical="center"/>
    </xf>
    <xf numFmtId="0" fontId="7" fillId="0" borderId="40" xfId="0" applyFont="1" applyBorder="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center" vertical="center" shrinkToFit="1"/>
    </xf>
    <xf numFmtId="0" fontId="2" fillId="0" borderId="0" xfId="0" applyFont="1" applyAlignment="1">
      <alignment horizontal="right" vertical="center" shrinkToFit="1"/>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7" fillId="0" borderId="0" xfId="0" applyFont="1" applyAlignment="1">
      <alignment horizontal="lef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7" fillId="2" borderId="43" xfId="0" applyFont="1" applyFill="1" applyBorder="1" applyAlignment="1">
      <alignment horizontal="center" vertical="center"/>
    </xf>
    <xf numFmtId="0" fontId="8" fillId="0" borderId="1" xfId="0" applyFont="1" applyBorder="1" applyAlignment="1">
      <alignment horizontal="center" vertical="center"/>
    </xf>
    <xf numFmtId="0" fontId="8" fillId="0" borderId="44" xfId="0" applyFont="1" applyBorder="1" applyAlignment="1">
      <alignment horizontal="center" vertical="center"/>
    </xf>
    <xf numFmtId="0" fontId="8" fillId="0" borderId="3"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8" fillId="0" borderId="49" xfId="0" applyFont="1" applyBorder="1" applyAlignment="1">
      <alignment horizontal="center" vertical="center"/>
    </xf>
    <xf numFmtId="0" fontId="6" fillId="0" borderId="17" xfId="0" applyFont="1" applyBorder="1" applyAlignment="1">
      <alignment horizontal="center" vertical="center" shrinkToFit="1"/>
    </xf>
    <xf numFmtId="0" fontId="8" fillId="0" borderId="0" xfId="0" applyFont="1" applyAlignment="1">
      <alignment horizontal="center" vertical="center"/>
    </xf>
    <xf numFmtId="0" fontId="8" fillId="0" borderId="50" xfId="0" applyFont="1" applyBorder="1" applyAlignment="1">
      <alignment horizontal="center" vertical="center"/>
    </xf>
    <xf numFmtId="0" fontId="3" fillId="0" borderId="4" xfId="0" applyFont="1" applyBorder="1" applyAlignment="1">
      <alignment horizontal="center" vertical="center" shrinkToFit="1"/>
    </xf>
    <xf numFmtId="0" fontId="8" fillId="0" borderId="4" xfId="0" applyFont="1" applyBorder="1" applyAlignment="1">
      <alignment horizontal="center" vertical="center" shrinkToFit="1"/>
    </xf>
    <xf numFmtId="0" fontId="8" fillId="0" borderId="50" xfId="0" applyFont="1" applyBorder="1" applyAlignment="1">
      <alignment vertical="center"/>
    </xf>
    <xf numFmtId="0" fontId="8" fillId="0" borderId="54" xfId="0" applyFont="1" applyBorder="1" applyAlignment="1">
      <alignment vertical="center"/>
    </xf>
    <xf numFmtId="0" fontId="8" fillId="3" borderId="2" xfId="0" applyFont="1" applyFill="1" applyBorder="1" applyAlignment="1">
      <alignment vertical="center"/>
    </xf>
    <xf numFmtId="0" fontId="8" fillId="3" borderId="43" xfId="0" applyFont="1" applyFill="1" applyBorder="1" applyAlignment="1">
      <alignment vertical="center"/>
    </xf>
    <xf numFmtId="0" fontId="8" fillId="0" borderId="2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23" xfId="0" applyFont="1" applyBorder="1" applyAlignment="1">
      <alignment horizontal="center" vertical="center" shrinkToFit="1"/>
    </xf>
    <xf numFmtId="0" fontId="8" fillId="0" borderId="34" xfId="0" applyFont="1" applyBorder="1" applyAlignment="1">
      <alignment horizontal="center" vertical="center"/>
    </xf>
    <xf numFmtId="0" fontId="2" fillId="0" borderId="55" xfId="0" applyFont="1" applyBorder="1" applyAlignment="1">
      <alignment horizontal="center" vertical="center"/>
    </xf>
    <xf numFmtId="0" fontId="6" fillId="0" borderId="16" xfId="0" applyFont="1" applyBorder="1" applyAlignment="1">
      <alignment horizontal="center" vertical="center" shrinkToFit="1"/>
    </xf>
    <xf numFmtId="0" fontId="8" fillId="0" borderId="25" xfId="0" applyFont="1" applyBorder="1" applyAlignment="1">
      <alignment horizontal="center" vertical="center" shrinkToFit="1"/>
    </xf>
    <xf numFmtId="0" fontId="8" fillId="0" borderId="24" xfId="0" applyFont="1" applyBorder="1" applyAlignment="1">
      <alignment horizontal="center" vertical="center"/>
    </xf>
    <xf numFmtId="0" fontId="8" fillId="0" borderId="56" xfId="0" applyFont="1" applyBorder="1" applyAlignment="1">
      <alignment horizontal="center" vertical="center"/>
    </xf>
    <xf numFmtId="0" fontId="6" fillId="0" borderId="19" xfId="0" applyFont="1" applyBorder="1" applyAlignment="1">
      <alignment horizontal="center" vertical="center" shrinkToFit="1"/>
    </xf>
    <xf numFmtId="0" fontId="8" fillId="0" borderId="20" xfId="0" applyFont="1" applyBorder="1" applyAlignment="1">
      <alignment horizontal="center" vertical="center"/>
    </xf>
    <xf numFmtId="0" fontId="8" fillId="0" borderId="57" xfId="0" applyFont="1" applyBorder="1" applyAlignment="1">
      <alignment horizontal="center" vertical="center"/>
    </xf>
    <xf numFmtId="0" fontId="8" fillId="0" borderId="59" xfId="0" applyFont="1" applyBorder="1" applyAlignment="1">
      <alignment horizontal="center" vertical="center"/>
    </xf>
    <xf numFmtId="0" fontId="8" fillId="0" borderId="54" xfId="0" applyFont="1" applyBorder="1" applyAlignment="1">
      <alignment horizontal="center" vertical="center"/>
    </xf>
    <xf numFmtId="0" fontId="8" fillId="0" borderId="60" xfId="0" applyFont="1" applyBorder="1" applyAlignment="1">
      <alignment horizontal="center" vertical="center"/>
    </xf>
    <xf numFmtId="0" fontId="8" fillId="0" borderId="62" xfId="0" applyFont="1" applyBorder="1" applyAlignment="1">
      <alignment vertical="center"/>
    </xf>
    <xf numFmtId="0" fontId="8" fillId="0" borderId="56" xfId="0" applyFont="1" applyBorder="1" applyAlignment="1">
      <alignment vertical="center"/>
    </xf>
    <xf numFmtId="0" fontId="8" fillId="0" borderId="63" xfId="0" applyFont="1" applyBorder="1" applyAlignment="1">
      <alignment vertical="center"/>
    </xf>
    <xf numFmtId="0" fontId="8" fillId="0" borderId="64" xfId="0" applyFont="1" applyBorder="1" applyAlignment="1">
      <alignment vertical="center"/>
    </xf>
    <xf numFmtId="0" fontId="8" fillId="0" borderId="57" xfId="0" applyFont="1" applyBorder="1" applyAlignment="1">
      <alignment vertical="center"/>
    </xf>
    <xf numFmtId="0" fontId="8" fillId="0" borderId="65" xfId="0" applyFont="1" applyBorder="1" applyAlignment="1">
      <alignment vertical="center"/>
    </xf>
    <xf numFmtId="0" fontId="8" fillId="0" borderId="66" xfId="0" applyFont="1" applyBorder="1" applyAlignment="1">
      <alignment vertical="center"/>
    </xf>
    <xf numFmtId="0" fontId="8" fillId="0" borderId="67" xfId="0" applyFont="1" applyBorder="1" applyAlignment="1">
      <alignment vertical="center"/>
    </xf>
    <xf numFmtId="0" fontId="8" fillId="0" borderId="46" xfId="0" applyFont="1" applyBorder="1" applyAlignment="1">
      <alignment vertical="center"/>
    </xf>
    <xf numFmtId="0" fontId="8" fillId="0" borderId="1" xfId="0" applyFont="1" applyBorder="1" applyAlignment="1">
      <alignment vertical="center"/>
    </xf>
    <xf numFmtId="0" fontId="8" fillId="0" borderId="5" xfId="0" applyFont="1" applyBorder="1" applyAlignment="1">
      <alignment vertical="center"/>
    </xf>
    <xf numFmtId="0" fontId="8" fillId="0" borderId="61"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8" fillId="0" borderId="8" xfId="0" applyFont="1" applyBorder="1" applyAlignment="1">
      <alignment vertical="center"/>
    </xf>
    <xf numFmtId="0" fontId="0" fillId="0" borderId="0" xfId="0" applyAlignment="1">
      <alignment horizontal="right" vertical="center"/>
    </xf>
    <xf numFmtId="1" fontId="0" fillId="0" borderId="0" xfId="0" applyNumberFormat="1" applyAlignment="1">
      <alignment vertical="center"/>
    </xf>
    <xf numFmtId="0" fontId="7" fillId="0" borderId="6" xfId="0" applyFont="1" applyBorder="1" applyAlignment="1">
      <alignment horizontal="center" vertical="center"/>
    </xf>
    <xf numFmtId="0" fontId="8" fillId="0" borderId="30" xfId="0" applyFont="1" applyBorder="1" applyAlignment="1">
      <alignment horizontal="center" vertical="center" shrinkToFit="1"/>
    </xf>
    <xf numFmtId="0" fontId="8" fillId="0" borderId="22" xfId="0" applyFont="1" applyBorder="1" applyAlignment="1">
      <alignment horizontal="center" vertical="center"/>
    </xf>
    <xf numFmtId="0" fontId="15" fillId="0" borderId="0" xfId="0" applyFont="1" applyAlignment="1">
      <alignment horizontal="right" vertical="center"/>
    </xf>
    <xf numFmtId="0" fontId="15" fillId="0" borderId="0" xfId="0" applyFont="1" applyAlignment="1">
      <alignment horizontal="left" vertical="center"/>
    </xf>
    <xf numFmtId="38" fontId="15" fillId="0" borderId="0" xfId="1" applyFont="1" applyAlignment="1">
      <alignment horizontal="left" vertical="center"/>
    </xf>
    <xf numFmtId="0" fontId="15" fillId="0" borderId="16" xfId="0" applyFont="1" applyBorder="1" applyAlignment="1">
      <alignment horizontal="center" vertical="center"/>
    </xf>
    <xf numFmtId="0" fontId="15" fillId="0" borderId="44" xfId="0" applyFont="1" applyBorder="1" applyAlignment="1">
      <alignment horizontal="center" vertical="center"/>
    </xf>
    <xf numFmtId="0" fontId="15" fillId="0" borderId="54" xfId="0" applyFont="1" applyBorder="1" applyAlignment="1">
      <alignment horizontal="center" vertical="center"/>
    </xf>
    <xf numFmtId="0" fontId="15" fillId="0" borderId="29" xfId="0" applyFont="1" applyBorder="1" applyAlignment="1">
      <alignment horizontal="center" vertical="center" shrinkToFit="1"/>
    </xf>
    <xf numFmtId="0" fontId="15" fillId="0" borderId="45"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28" xfId="0" applyFont="1" applyBorder="1" applyAlignment="1">
      <alignment horizontal="center" vertical="center"/>
    </xf>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5" fillId="0" borderId="0" xfId="0" applyFont="1" applyAlignment="1">
      <alignment vertical="center"/>
    </xf>
    <xf numFmtId="0" fontId="15" fillId="0" borderId="13" xfId="0" applyFont="1" applyBorder="1" applyAlignment="1">
      <alignment horizontal="center" vertical="center"/>
    </xf>
    <xf numFmtId="0" fontId="15" fillId="0" borderId="42" xfId="0" applyFont="1" applyBorder="1" applyAlignment="1">
      <alignment horizontal="center" vertical="center"/>
    </xf>
    <xf numFmtId="0" fontId="15" fillId="0" borderId="71" xfId="0" applyFont="1" applyBorder="1" applyAlignment="1">
      <alignment horizontal="center" vertical="center"/>
    </xf>
    <xf numFmtId="0" fontId="15" fillId="0" borderId="14" xfId="0" applyFont="1" applyBorder="1" applyAlignment="1">
      <alignment horizontal="center" vertical="center"/>
    </xf>
    <xf numFmtId="0" fontId="15" fillId="0" borderId="33" xfId="0" applyFont="1" applyBorder="1" applyAlignment="1">
      <alignment horizontal="center" vertical="center"/>
    </xf>
    <xf numFmtId="0" fontId="15" fillId="0" borderId="34" xfId="0" applyFont="1" applyBorder="1" applyAlignment="1">
      <alignment horizontal="center" vertical="center"/>
    </xf>
    <xf numFmtId="0" fontId="15" fillId="0" borderId="55" xfId="0" applyFont="1" applyBorder="1" applyAlignment="1">
      <alignment horizontal="center" vertical="center"/>
    </xf>
    <xf numFmtId="0" fontId="15" fillId="0" borderId="68" xfId="0" applyFont="1" applyBorder="1" applyAlignment="1">
      <alignment horizontal="center" vertical="center"/>
    </xf>
    <xf numFmtId="0" fontId="15" fillId="0" borderId="11" xfId="0" applyFont="1" applyBorder="1" applyAlignment="1">
      <alignment horizontal="center" vertical="center"/>
    </xf>
    <xf numFmtId="0" fontId="15" fillId="0" borderId="2" xfId="0" applyFont="1" applyBorder="1" applyAlignment="1">
      <alignment horizontal="center" vertical="center"/>
    </xf>
    <xf numFmtId="0" fontId="15" fillId="0" borderId="43" xfId="0" applyFont="1" applyBorder="1" applyAlignment="1">
      <alignment horizontal="center" vertical="center"/>
    </xf>
    <xf numFmtId="0" fontId="15" fillId="0" borderId="7" xfId="0" applyFont="1" applyBorder="1" applyAlignment="1">
      <alignment horizontal="center" vertical="center"/>
    </xf>
    <xf numFmtId="0" fontId="15" fillId="0" borderId="73" xfId="0" applyFont="1" applyBorder="1" applyAlignment="1">
      <alignment horizontal="center" vertical="center"/>
    </xf>
    <xf numFmtId="0" fontId="15" fillId="0" borderId="12" xfId="0" applyFont="1" applyBorder="1" applyAlignment="1">
      <alignment horizontal="center" vertical="center" shrinkToFit="1"/>
    </xf>
    <xf numFmtId="0" fontId="15" fillId="0" borderId="69" xfId="0" applyFont="1" applyBorder="1" applyAlignment="1">
      <alignment horizontal="center" vertical="center"/>
    </xf>
    <xf numFmtId="0" fontId="15" fillId="0" borderId="18" xfId="0" applyFont="1" applyBorder="1" applyAlignment="1">
      <alignment horizontal="center" vertical="center"/>
    </xf>
    <xf numFmtId="0" fontId="0" fillId="0" borderId="0" xfId="0" applyAlignment="1"/>
    <xf numFmtId="0" fontId="15" fillId="0" borderId="36" xfId="0" applyFont="1" applyBorder="1" applyAlignment="1">
      <alignment horizontal="center" vertical="center"/>
    </xf>
    <xf numFmtId="0" fontId="15" fillId="0" borderId="0" xfId="0" applyFont="1" applyAlignment="1">
      <alignment vertical="center" shrinkToFit="1"/>
    </xf>
    <xf numFmtId="0" fontId="15" fillId="0" borderId="0" xfId="0" applyFont="1" applyAlignment="1">
      <alignment horizontal="center" vertical="center" shrinkToFit="1"/>
    </xf>
    <xf numFmtId="0" fontId="15" fillId="2" borderId="10"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7" xfId="0" applyFont="1" applyFill="1" applyBorder="1" applyAlignment="1">
      <alignment horizontal="center" vertical="center"/>
    </xf>
    <xf numFmtId="0" fontId="15" fillId="0" borderId="3" xfId="0" applyFont="1" applyBorder="1" applyAlignment="1">
      <alignment horizontal="center" vertical="center" shrinkToFit="1"/>
    </xf>
    <xf numFmtId="0" fontId="16" fillId="0" borderId="0" xfId="0" applyFont="1" applyAlignment="1">
      <alignment horizontal="center" vertical="center"/>
    </xf>
    <xf numFmtId="0" fontId="15" fillId="0" borderId="5" xfId="0" applyFont="1" applyBorder="1" applyAlignment="1">
      <alignment horizontal="center" vertical="center" shrinkToFit="1"/>
    </xf>
    <xf numFmtId="0" fontId="15" fillId="0" borderId="4" xfId="0" applyFont="1" applyBorder="1" applyAlignment="1">
      <alignment horizontal="center" vertical="center" shrinkToFit="1"/>
    </xf>
    <xf numFmtId="0" fontId="15" fillId="2" borderId="43" xfId="0" applyFont="1" applyFill="1" applyBorder="1" applyAlignment="1">
      <alignment horizontal="center" vertical="center"/>
    </xf>
    <xf numFmtId="0" fontId="15" fillId="0" borderId="32" xfId="0" applyFont="1" applyBorder="1" applyAlignment="1">
      <alignment horizontal="center" vertical="center" shrinkToFit="1"/>
    </xf>
    <xf numFmtId="0" fontId="15" fillId="0" borderId="8" xfId="0" applyFont="1" applyBorder="1" applyAlignment="1">
      <alignment horizontal="center" vertical="center" shrinkToFit="1"/>
    </xf>
    <xf numFmtId="0" fontId="15" fillId="0" borderId="34" xfId="0" applyFont="1" applyBorder="1" applyAlignment="1">
      <alignment horizontal="center" vertical="center" shrinkToFit="1"/>
    </xf>
    <xf numFmtId="0" fontId="15" fillId="0" borderId="0" xfId="0" applyFont="1" applyAlignment="1">
      <alignment horizontal="right" vertical="center" shrinkToFit="1"/>
    </xf>
    <xf numFmtId="0" fontId="17" fillId="0" borderId="0" xfId="0" applyFont="1" applyAlignment="1">
      <alignment horizontal="center" vertical="center" shrinkToFit="1"/>
    </xf>
    <xf numFmtId="0" fontId="17" fillId="0" borderId="0" xfId="0" applyFont="1" applyAlignment="1">
      <alignment horizontal="center" vertical="center"/>
    </xf>
    <xf numFmtId="0" fontId="15" fillId="0" borderId="46" xfId="0" applyFont="1" applyBorder="1" applyAlignment="1">
      <alignment horizontal="center" vertical="center"/>
    </xf>
    <xf numFmtId="0" fontId="15" fillId="0" borderId="1" xfId="0" applyFont="1" applyBorder="1" applyAlignment="1"/>
    <xf numFmtId="0" fontId="15" fillId="0" borderId="5" xfId="0" applyFont="1" applyBorder="1" applyAlignment="1"/>
    <xf numFmtId="0" fontId="15" fillId="0" borderId="61" xfId="0" applyFont="1" applyBorder="1" applyAlignment="1">
      <alignment horizontal="center" vertical="center"/>
    </xf>
    <xf numFmtId="0" fontId="15" fillId="0" borderId="2" xfId="0" applyFont="1" applyBorder="1" applyAlignment="1">
      <alignment vertical="center"/>
    </xf>
    <xf numFmtId="0" fontId="15" fillId="0" borderId="4" xfId="0" applyFont="1" applyBorder="1" applyAlignment="1"/>
    <xf numFmtId="0" fontId="15" fillId="0" borderId="64" xfId="0" applyFont="1" applyBorder="1" applyAlignment="1">
      <alignment horizontal="center" vertical="center" shrinkToFit="1"/>
    </xf>
    <xf numFmtId="0" fontId="15" fillId="0" borderId="57" xfId="0" applyFont="1" applyBorder="1" applyAlignment="1">
      <alignment horizontal="center" vertical="center"/>
    </xf>
    <xf numFmtId="0" fontId="15" fillId="0" borderId="65" xfId="0" applyFont="1" applyBorder="1" applyAlignment="1">
      <alignment horizontal="center" vertical="center"/>
    </xf>
    <xf numFmtId="0" fontId="15" fillId="0" borderId="47" xfId="0" applyFont="1" applyBorder="1" applyAlignment="1">
      <alignment horizontal="center" vertical="center"/>
    </xf>
    <xf numFmtId="0" fontId="15" fillId="0" borderId="3" xfId="0" applyFont="1" applyBorder="1" applyAlignment="1"/>
    <xf numFmtId="0" fontId="15" fillId="0" borderId="8" xfId="0" applyFont="1" applyBorder="1" applyAlignment="1"/>
    <xf numFmtId="2" fontId="15" fillId="2" borderId="10" xfId="0" applyNumberFormat="1" applyFont="1" applyFill="1" applyBorder="1" applyAlignment="1">
      <alignment horizontal="center" vertical="center"/>
    </xf>
    <xf numFmtId="2" fontId="15" fillId="2" borderId="11" xfId="0" applyNumberFormat="1" applyFont="1" applyFill="1" applyBorder="1" applyAlignment="1">
      <alignment horizontal="center" vertical="center"/>
    </xf>
    <xf numFmtId="2" fontId="15" fillId="2" borderId="1" xfId="0" applyNumberFormat="1" applyFont="1" applyFill="1" applyBorder="1" applyAlignment="1">
      <alignment horizontal="center" vertical="center"/>
    </xf>
    <xf numFmtId="2" fontId="15" fillId="2" borderId="2" xfId="0" applyNumberFormat="1" applyFont="1" applyFill="1" applyBorder="1" applyAlignment="1">
      <alignment horizontal="center" vertical="center"/>
    </xf>
    <xf numFmtId="0" fontId="15" fillId="0" borderId="10" xfId="0" applyFont="1" applyBorder="1" applyAlignment="1">
      <alignment horizontal="center" vertical="center"/>
    </xf>
    <xf numFmtId="0" fontId="15" fillId="0" borderId="1" xfId="0" applyFont="1" applyBorder="1" applyAlignment="1">
      <alignment horizontal="center" vertical="center"/>
    </xf>
    <xf numFmtId="0" fontId="15" fillId="0" borderId="6" xfId="0" applyFont="1" applyBorder="1" applyAlignment="1">
      <alignment horizontal="center" vertical="center"/>
    </xf>
    <xf numFmtId="0" fontId="15" fillId="0" borderId="0" xfId="0" applyFont="1" applyAlignment="1">
      <alignment horizontal="center" vertical="center"/>
    </xf>
    <xf numFmtId="0" fontId="15" fillId="0" borderId="17" xfId="0" applyFont="1" applyBorder="1" applyAlignment="1">
      <alignment horizontal="center" vertical="center"/>
    </xf>
    <xf numFmtId="0" fontId="15" fillId="0" borderId="50" xfId="0" applyFont="1" applyBorder="1" applyAlignment="1">
      <alignment horizontal="center" vertical="center"/>
    </xf>
    <xf numFmtId="0" fontId="15" fillId="0" borderId="12" xfId="0" applyFont="1" applyBorder="1" applyAlignment="1">
      <alignment horizontal="center" vertical="center"/>
    </xf>
    <xf numFmtId="0" fontId="15" fillId="0" borderId="3" xfId="0" applyFont="1" applyBorder="1" applyAlignment="1">
      <alignment horizontal="center" vertical="center"/>
    </xf>
    <xf numFmtId="0" fontId="15" fillId="0" borderId="9" xfId="0" applyFont="1" applyBorder="1" applyAlignment="1">
      <alignment horizontal="center" vertical="center"/>
    </xf>
    <xf numFmtId="0" fontId="5" fillId="0" borderId="2" xfId="0" applyFont="1" applyBorder="1" applyAlignment="1">
      <alignment horizontal="center" vertical="center" shrinkToFit="1"/>
    </xf>
    <xf numFmtId="0" fontId="5" fillId="0" borderId="1" xfId="0" applyFont="1" applyBorder="1" applyAlignment="1">
      <alignment horizontal="center" vertical="center" shrinkToFit="1"/>
    </xf>
    <xf numFmtId="0" fontId="15" fillId="0" borderId="2"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27" xfId="0" applyFont="1" applyBorder="1" applyAlignment="1">
      <alignment horizontal="center" vertical="center"/>
    </xf>
    <xf numFmtId="176" fontId="7" fillId="2" borderId="11" xfId="0" applyNumberFormat="1" applyFont="1" applyFill="1" applyBorder="1" applyAlignment="1">
      <alignment horizontal="center" vertical="center"/>
    </xf>
    <xf numFmtId="176" fontId="7" fillId="2" borderId="2" xfId="0" applyNumberFormat="1" applyFont="1" applyFill="1" applyBorder="1" applyAlignment="1">
      <alignment horizontal="center" vertical="center"/>
    </xf>
    <xf numFmtId="176" fontId="7" fillId="2" borderId="7" xfId="0" applyNumberFormat="1" applyFont="1" applyFill="1" applyBorder="1" applyAlignment="1">
      <alignment horizontal="center" vertical="center"/>
    </xf>
    <xf numFmtId="177" fontId="7" fillId="0" borderId="0" xfId="0" applyNumberFormat="1" applyFont="1" applyAlignment="1">
      <alignment horizontal="center" vertical="center"/>
    </xf>
    <xf numFmtId="178" fontId="12" fillId="0" borderId="0" xfId="0" applyNumberFormat="1" applyFont="1" applyAlignment="1">
      <alignment horizontal="center" vertical="center"/>
    </xf>
    <xf numFmtId="178" fontId="7" fillId="0" borderId="11" xfId="0" applyNumberFormat="1" applyFont="1" applyBorder="1" applyAlignment="1">
      <alignment horizontal="center" vertical="center"/>
    </xf>
    <xf numFmtId="178" fontId="7" fillId="0" borderId="2" xfId="0" applyNumberFormat="1" applyFont="1" applyBorder="1" applyAlignment="1">
      <alignment horizontal="center" vertical="center"/>
    </xf>
    <xf numFmtId="178" fontId="7" fillId="0" borderId="43" xfId="0" applyNumberFormat="1" applyFont="1" applyBorder="1" applyAlignment="1">
      <alignment horizontal="center" vertical="center"/>
    </xf>
    <xf numFmtId="178" fontId="7" fillId="0" borderId="7" xfId="0" applyNumberFormat="1" applyFont="1" applyBorder="1" applyAlignment="1">
      <alignment horizontal="center" vertical="center"/>
    </xf>
    <xf numFmtId="179" fontId="7" fillId="2" borderId="11" xfId="0" applyNumberFormat="1" applyFont="1" applyFill="1" applyBorder="1" applyAlignment="1">
      <alignment horizontal="center" vertical="center"/>
    </xf>
    <xf numFmtId="179" fontId="7" fillId="2" borderId="2" xfId="0" applyNumberFormat="1" applyFont="1" applyFill="1" applyBorder="1" applyAlignment="1">
      <alignment horizontal="center" vertical="center"/>
    </xf>
    <xf numFmtId="179" fontId="7" fillId="2" borderId="7" xfId="0" applyNumberFormat="1" applyFont="1" applyFill="1" applyBorder="1" applyAlignment="1">
      <alignment horizontal="center" vertical="center"/>
    </xf>
    <xf numFmtId="180" fontId="7" fillId="0" borderId="11" xfId="0" applyNumberFormat="1" applyFont="1" applyBorder="1" applyAlignment="1">
      <alignment horizontal="center" vertical="center"/>
    </xf>
    <xf numFmtId="180" fontId="7" fillId="0" borderId="2" xfId="0" applyNumberFormat="1" applyFont="1" applyBorder="1" applyAlignment="1">
      <alignment horizontal="center" vertical="center"/>
    </xf>
    <xf numFmtId="180" fontId="7" fillId="0" borderId="7" xfId="0" applyNumberFormat="1" applyFont="1" applyBorder="1" applyAlignment="1">
      <alignment horizontal="center" vertical="center"/>
    </xf>
    <xf numFmtId="181" fontId="7" fillId="0" borderId="11" xfId="0" applyNumberFormat="1" applyFont="1" applyBorder="1" applyAlignment="1">
      <alignment horizontal="center" vertical="center"/>
    </xf>
    <xf numFmtId="181" fontId="7" fillId="0" borderId="2" xfId="0" applyNumberFormat="1" applyFont="1" applyBorder="1" applyAlignment="1">
      <alignment horizontal="center" vertical="center"/>
    </xf>
    <xf numFmtId="181" fontId="7" fillId="0" borderId="7" xfId="0" applyNumberFormat="1" applyFont="1" applyBorder="1" applyAlignment="1">
      <alignment horizontal="center" vertical="center"/>
    </xf>
    <xf numFmtId="179" fontId="7" fillId="0" borderId="11" xfId="0" applyNumberFormat="1" applyFont="1" applyBorder="1" applyAlignment="1">
      <alignment horizontal="center" vertical="center"/>
    </xf>
    <xf numFmtId="179" fontId="7" fillId="0" borderId="2" xfId="0" applyNumberFormat="1" applyFont="1" applyBorder="1" applyAlignment="1">
      <alignment horizontal="center" vertical="center"/>
    </xf>
    <xf numFmtId="179" fontId="7" fillId="0" borderId="7" xfId="0" applyNumberFormat="1" applyFont="1" applyBorder="1" applyAlignment="1">
      <alignment horizontal="center" vertical="center"/>
    </xf>
    <xf numFmtId="179" fontId="7" fillId="0" borderId="12" xfId="0" applyNumberFormat="1" applyFont="1" applyBorder="1" applyAlignment="1">
      <alignment horizontal="center" vertical="center"/>
    </xf>
    <xf numFmtId="179" fontId="7" fillId="0" borderId="3" xfId="0" applyNumberFormat="1" applyFont="1" applyBorder="1" applyAlignment="1">
      <alignment horizontal="center" vertical="center"/>
    </xf>
    <xf numFmtId="179" fontId="7" fillId="0" borderId="9" xfId="0" applyNumberFormat="1" applyFont="1" applyBorder="1" applyAlignment="1">
      <alignment horizontal="center" vertical="center"/>
    </xf>
    <xf numFmtId="179" fontId="7" fillId="0" borderId="10" xfId="0" applyNumberFormat="1" applyFont="1" applyBorder="1" applyAlignment="1">
      <alignment horizontal="center" vertical="center"/>
    </xf>
    <xf numFmtId="179" fontId="7" fillId="0" borderId="1" xfId="0" applyNumberFormat="1" applyFont="1" applyBorder="1" applyAlignment="1">
      <alignment horizontal="center" vertical="center"/>
    </xf>
    <xf numFmtId="179" fontId="7" fillId="0" borderId="6" xfId="0" applyNumberFormat="1" applyFont="1" applyBorder="1" applyAlignment="1">
      <alignment horizontal="center" vertical="center"/>
    </xf>
    <xf numFmtId="182" fontId="7" fillId="0" borderId="11" xfId="0" applyNumberFormat="1" applyFont="1" applyBorder="1" applyAlignment="1">
      <alignment horizontal="center" vertical="center"/>
    </xf>
    <xf numFmtId="182" fontId="7" fillId="0" borderId="2" xfId="0" applyNumberFormat="1" applyFont="1" applyBorder="1" applyAlignment="1">
      <alignment horizontal="center" vertical="center"/>
    </xf>
    <xf numFmtId="182" fontId="7" fillId="0" borderId="7" xfId="0" applyNumberFormat="1" applyFont="1" applyBorder="1" applyAlignment="1">
      <alignment horizontal="center" vertical="center"/>
    </xf>
    <xf numFmtId="182" fontId="7" fillId="0" borderId="29" xfId="0" applyNumberFormat="1" applyFont="1" applyBorder="1" applyAlignment="1">
      <alignment horizontal="center" vertical="center"/>
    </xf>
    <xf numFmtId="182" fontId="7" fillId="0" borderId="32" xfId="0" applyNumberFormat="1" applyFont="1" applyBorder="1" applyAlignment="1">
      <alignment horizontal="center" vertical="center"/>
    </xf>
    <xf numFmtId="182" fontId="7" fillId="0" borderId="33" xfId="0" applyNumberFormat="1" applyFont="1" applyBorder="1" applyAlignment="1">
      <alignment horizontal="center" vertical="center"/>
    </xf>
    <xf numFmtId="182" fontId="7" fillId="0" borderId="12" xfId="0" applyNumberFormat="1" applyFont="1" applyBorder="1" applyAlignment="1">
      <alignment horizontal="center" vertical="center"/>
    </xf>
    <xf numFmtId="182" fontId="7" fillId="0" borderId="3" xfId="0" applyNumberFormat="1" applyFont="1" applyBorder="1" applyAlignment="1">
      <alignment horizontal="center" vertical="center"/>
    </xf>
    <xf numFmtId="182" fontId="7" fillId="0" borderId="9" xfId="0" applyNumberFormat="1" applyFont="1" applyBorder="1" applyAlignment="1">
      <alignment horizontal="center" vertical="center"/>
    </xf>
    <xf numFmtId="181" fontId="12" fillId="0" borderId="0" xfId="0" applyNumberFormat="1" applyFont="1" applyAlignment="1">
      <alignment horizontal="center" vertical="center"/>
    </xf>
    <xf numFmtId="178" fontId="7" fillId="0" borderId="10" xfId="0" applyNumberFormat="1" applyFont="1" applyBorder="1" applyAlignment="1">
      <alignment horizontal="center" vertical="center"/>
    </xf>
    <xf numFmtId="178" fontId="7" fillId="0" borderId="1" xfId="0" applyNumberFormat="1" applyFont="1" applyBorder="1" applyAlignment="1">
      <alignment horizontal="center" vertical="center"/>
    </xf>
    <xf numFmtId="178" fontId="7" fillId="0" borderId="6"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41" xfId="0" applyNumberFormat="1" applyFont="1" applyBorder="1" applyAlignment="1">
      <alignment horizontal="center" vertical="center"/>
    </xf>
    <xf numFmtId="178" fontId="7" fillId="0" borderId="36" xfId="0" applyNumberFormat="1" applyFont="1" applyBorder="1" applyAlignment="1">
      <alignment horizontal="center" vertical="center"/>
    </xf>
    <xf numFmtId="182" fontId="7" fillId="0" borderId="0" xfId="0" applyNumberFormat="1" applyFont="1" applyAlignment="1">
      <alignment horizontal="center" vertical="center"/>
    </xf>
    <xf numFmtId="178" fontId="7" fillId="0" borderId="12" xfId="0" applyNumberFormat="1" applyFont="1" applyBorder="1" applyAlignment="1">
      <alignment horizontal="center" vertical="center"/>
    </xf>
    <xf numFmtId="178" fontId="7" fillId="0" borderId="3" xfId="0" applyNumberFormat="1" applyFont="1" applyBorder="1" applyAlignment="1">
      <alignment horizontal="center" vertical="center"/>
    </xf>
    <xf numFmtId="178" fontId="7" fillId="0" borderId="9" xfId="0" applyNumberFormat="1" applyFont="1" applyBorder="1" applyAlignment="1">
      <alignment horizontal="center" vertical="center"/>
    </xf>
    <xf numFmtId="182" fontId="7" fillId="0" borderId="10" xfId="0" applyNumberFormat="1" applyFont="1" applyBorder="1" applyAlignment="1">
      <alignment horizontal="center" vertical="center"/>
    </xf>
    <xf numFmtId="182" fontId="7" fillId="0" borderId="1" xfId="0" applyNumberFormat="1" applyFont="1" applyBorder="1" applyAlignment="1">
      <alignment horizontal="center" vertical="center"/>
    </xf>
    <xf numFmtId="182" fontId="7" fillId="0" borderId="6" xfId="0" applyNumberFormat="1" applyFont="1" applyBorder="1" applyAlignment="1">
      <alignment horizontal="center" vertical="center"/>
    </xf>
    <xf numFmtId="182" fontId="7" fillId="2" borderId="12" xfId="0" applyNumberFormat="1" applyFont="1" applyFill="1" applyBorder="1" applyAlignment="1">
      <alignment horizontal="center" vertical="center"/>
    </xf>
    <xf numFmtId="182" fontId="7" fillId="2" borderId="3" xfId="0" applyNumberFormat="1" applyFont="1" applyFill="1" applyBorder="1" applyAlignment="1">
      <alignment horizontal="center" vertical="center"/>
    </xf>
    <xf numFmtId="182" fontId="7" fillId="2" borderId="9" xfId="0" applyNumberFormat="1" applyFont="1" applyFill="1" applyBorder="1" applyAlignment="1">
      <alignment horizontal="center" vertical="center"/>
    </xf>
    <xf numFmtId="183" fontId="7" fillId="0" borderId="13" xfId="0" applyNumberFormat="1" applyFont="1" applyBorder="1" applyAlignment="1">
      <alignment horizontal="center" vertical="center"/>
    </xf>
    <xf numFmtId="183" fontId="7" fillId="0" borderId="42" xfId="0" applyNumberFormat="1" applyFont="1" applyBorder="1" applyAlignment="1">
      <alignment horizontal="center" vertical="center"/>
    </xf>
    <xf numFmtId="183" fontId="7" fillId="0" borderId="14" xfId="0" applyNumberFormat="1" applyFont="1" applyBorder="1" applyAlignment="1">
      <alignment horizontal="center" vertical="center"/>
    </xf>
    <xf numFmtId="181" fontId="7" fillId="0" borderId="23" xfId="0" applyNumberFormat="1" applyFont="1" applyBorder="1" applyAlignment="1">
      <alignment vertical="center"/>
    </xf>
    <xf numFmtId="181" fontId="7" fillId="2" borderId="15" xfId="0" applyNumberFormat="1" applyFont="1" applyFill="1" applyBorder="1" applyAlignment="1">
      <alignment vertical="center"/>
    </xf>
    <xf numFmtId="181" fontId="7" fillId="0" borderId="0" xfId="0" applyNumberFormat="1" applyFont="1" applyAlignment="1">
      <alignment horizontal="center" vertical="center"/>
    </xf>
    <xf numFmtId="178" fontId="7" fillId="0" borderId="0" xfId="0" applyNumberFormat="1" applyFont="1" applyAlignment="1">
      <alignment horizontal="center" vertical="center"/>
    </xf>
    <xf numFmtId="181" fontId="8" fillId="0" borderId="6" xfId="0" applyNumberFormat="1" applyFont="1" applyBorder="1" applyAlignment="1">
      <alignment vertical="center"/>
    </xf>
    <xf numFmtId="181" fontId="8" fillId="0" borderId="1" xfId="0" applyNumberFormat="1" applyFont="1" applyBorder="1" applyAlignment="1">
      <alignment vertical="center"/>
    </xf>
    <xf numFmtId="181" fontId="8" fillId="0" borderId="44" xfId="0" applyNumberFormat="1" applyFont="1" applyBorder="1" applyAlignment="1">
      <alignment vertical="center"/>
    </xf>
    <xf numFmtId="181" fontId="8" fillId="0" borderId="7" xfId="0" applyNumberFormat="1" applyFont="1" applyBorder="1" applyAlignment="1">
      <alignment vertical="center"/>
    </xf>
    <xf numFmtId="181" fontId="8" fillId="0" borderId="2" xfId="0" applyNumberFormat="1" applyFont="1" applyBorder="1" applyAlignment="1">
      <alignment vertical="center"/>
    </xf>
    <xf numFmtId="181" fontId="8" fillId="0" borderId="43" xfId="0" applyNumberFormat="1" applyFont="1" applyBorder="1" applyAlignment="1">
      <alignment vertical="center"/>
    </xf>
    <xf numFmtId="179" fontId="8" fillId="2" borderId="7" xfId="0" applyNumberFormat="1" applyFont="1" applyFill="1" applyBorder="1" applyAlignment="1">
      <alignment vertical="center"/>
    </xf>
    <xf numFmtId="179" fontId="8" fillId="2" borderId="2" xfId="0" applyNumberFormat="1" applyFont="1" applyFill="1" applyBorder="1" applyAlignment="1">
      <alignment vertical="center"/>
    </xf>
    <xf numFmtId="179" fontId="8" fillId="2" borderId="43" xfId="0" applyNumberFormat="1" applyFont="1" applyFill="1" applyBorder="1" applyAlignment="1">
      <alignment vertical="center"/>
    </xf>
    <xf numFmtId="181" fontId="8" fillId="2" borderId="7" xfId="0" applyNumberFormat="1" applyFont="1" applyFill="1" applyBorder="1" applyAlignment="1">
      <alignment vertical="center"/>
    </xf>
    <xf numFmtId="181" fontId="8" fillId="2" borderId="2" xfId="0" applyNumberFormat="1" applyFont="1" applyFill="1" applyBorder="1" applyAlignment="1">
      <alignment vertical="center"/>
    </xf>
    <xf numFmtId="181" fontId="8" fillId="2" borderId="43" xfId="0" applyNumberFormat="1" applyFont="1" applyFill="1" applyBorder="1" applyAlignment="1">
      <alignment vertical="center"/>
    </xf>
    <xf numFmtId="179" fontId="8" fillId="0" borderId="9" xfId="0" applyNumberFormat="1" applyFont="1" applyBorder="1" applyAlignment="1">
      <alignment vertical="center"/>
    </xf>
    <xf numFmtId="179" fontId="8" fillId="0" borderId="3" xfId="0" applyNumberFormat="1" applyFont="1" applyBorder="1" applyAlignment="1">
      <alignment vertical="center"/>
    </xf>
    <xf numFmtId="179" fontId="8" fillId="0" borderId="45" xfId="0" applyNumberFormat="1" applyFont="1" applyBorder="1" applyAlignment="1">
      <alignment vertical="center"/>
    </xf>
    <xf numFmtId="180" fontId="8" fillId="2" borderId="7" xfId="0" applyNumberFormat="1" applyFont="1" applyFill="1" applyBorder="1" applyAlignment="1">
      <alignment vertical="center"/>
    </xf>
    <xf numFmtId="180" fontId="8" fillId="2" borderId="2" xfId="0" applyNumberFormat="1" applyFont="1" applyFill="1" applyBorder="1" applyAlignment="1">
      <alignment vertical="center"/>
    </xf>
    <xf numFmtId="181" fontId="8" fillId="2" borderId="6" xfId="0" applyNumberFormat="1" applyFont="1" applyFill="1" applyBorder="1" applyAlignment="1">
      <alignment vertical="center"/>
    </xf>
    <xf numFmtId="181" fontId="8" fillId="2" borderId="1" xfId="0" applyNumberFormat="1" applyFont="1" applyFill="1" applyBorder="1" applyAlignment="1">
      <alignment vertical="center"/>
    </xf>
    <xf numFmtId="181" fontId="8" fillId="2" borderId="44" xfId="0" applyNumberFormat="1" applyFont="1" applyFill="1" applyBorder="1" applyAlignment="1">
      <alignment vertical="center"/>
    </xf>
    <xf numFmtId="179" fontId="8" fillId="0" borderId="7" xfId="0" applyNumberFormat="1" applyFont="1" applyBorder="1" applyAlignment="1">
      <alignment vertical="center"/>
    </xf>
    <xf numFmtId="179" fontId="8" fillId="0" borderId="2" xfId="0" applyNumberFormat="1" applyFont="1" applyBorder="1" applyAlignment="1">
      <alignment vertical="center"/>
    </xf>
    <xf numFmtId="179" fontId="8" fillId="0" borderId="43" xfId="0" applyNumberFormat="1" applyFont="1" applyBorder="1" applyAlignment="1">
      <alignment vertical="center"/>
    </xf>
    <xf numFmtId="180" fontId="8" fillId="0" borderId="7" xfId="0" applyNumberFormat="1" applyFont="1" applyBorder="1" applyAlignment="1">
      <alignment vertical="center"/>
    </xf>
    <xf numFmtId="180" fontId="8" fillId="0" borderId="2" xfId="0" applyNumberFormat="1" applyFont="1" applyBorder="1" applyAlignment="1">
      <alignment vertical="center"/>
    </xf>
    <xf numFmtId="180" fontId="8" fillId="0" borderId="43" xfId="0" applyNumberFormat="1" applyFont="1" applyBorder="1" applyAlignment="1">
      <alignment vertical="center"/>
    </xf>
    <xf numFmtId="178" fontId="8" fillId="0" borderId="6" xfId="0" applyNumberFormat="1" applyFont="1" applyBorder="1" applyAlignment="1">
      <alignment vertical="center"/>
    </xf>
    <xf numFmtId="178" fontId="8" fillId="0" borderId="1" xfId="0" applyNumberFormat="1" applyFont="1" applyBorder="1" applyAlignment="1">
      <alignment vertical="center"/>
    </xf>
    <xf numFmtId="178" fontId="8" fillId="0" borderId="44" xfId="0" applyNumberFormat="1" applyFont="1" applyBorder="1" applyAlignment="1">
      <alignment vertical="center"/>
    </xf>
    <xf numFmtId="178" fontId="8" fillId="0" borderId="7" xfId="0" applyNumberFormat="1" applyFont="1" applyBorder="1" applyAlignment="1">
      <alignment vertical="center"/>
    </xf>
    <xf numFmtId="178" fontId="8" fillId="0" borderId="2" xfId="0" applyNumberFormat="1" applyFont="1" applyBorder="1" applyAlignment="1">
      <alignment vertical="center"/>
    </xf>
    <xf numFmtId="178" fontId="8" fillId="0" borderId="43" xfId="0" applyNumberFormat="1" applyFont="1" applyBorder="1" applyAlignment="1">
      <alignment vertical="center"/>
    </xf>
    <xf numFmtId="178" fontId="8" fillId="0" borderId="7" xfId="0" applyNumberFormat="1" applyFont="1" applyBorder="1" applyAlignment="1">
      <alignment horizontal="right" vertical="center"/>
    </xf>
    <xf numFmtId="178" fontId="8" fillId="0" borderId="2" xfId="0" applyNumberFormat="1" applyFont="1" applyBorder="1" applyAlignment="1">
      <alignment horizontal="right" vertical="center"/>
    </xf>
    <xf numFmtId="178" fontId="8" fillId="0" borderId="43" xfId="0" applyNumberFormat="1" applyFont="1" applyBorder="1" applyAlignment="1">
      <alignment horizontal="right" vertical="center"/>
    </xf>
    <xf numFmtId="178" fontId="8" fillId="0" borderId="9" xfId="0" applyNumberFormat="1" applyFont="1" applyBorder="1" applyAlignment="1">
      <alignment horizontal="right" vertical="center"/>
    </xf>
    <xf numFmtId="178" fontId="8" fillId="0" borderId="3" xfId="0" applyNumberFormat="1" applyFont="1" applyBorder="1" applyAlignment="1">
      <alignment horizontal="right" vertical="center"/>
    </xf>
    <xf numFmtId="178" fontId="8" fillId="0" borderId="45" xfId="0" applyNumberFormat="1" applyFont="1" applyBorder="1" applyAlignment="1">
      <alignment horizontal="right" vertical="center"/>
    </xf>
    <xf numFmtId="180" fontId="8" fillId="0" borderId="6" xfId="0" applyNumberFormat="1" applyFont="1" applyBorder="1" applyAlignment="1">
      <alignment vertical="center"/>
    </xf>
    <xf numFmtId="180" fontId="8" fillId="0" borderId="1" xfId="0" applyNumberFormat="1" applyFont="1" applyBorder="1" applyAlignment="1">
      <alignment vertical="center"/>
    </xf>
    <xf numFmtId="180" fontId="8" fillId="0" borderId="44" xfId="0" applyNumberFormat="1" applyFont="1" applyBorder="1" applyAlignment="1">
      <alignment vertical="center"/>
    </xf>
    <xf numFmtId="178" fontId="16" fillId="0" borderId="0" xfId="0" applyNumberFormat="1" applyFont="1" applyAlignment="1">
      <alignment horizontal="center" vertical="center"/>
    </xf>
    <xf numFmtId="178" fontId="15" fillId="0" borderId="11" xfId="0" applyNumberFormat="1" applyFont="1" applyBorder="1" applyAlignment="1">
      <alignment horizontal="center" vertical="center"/>
    </xf>
    <xf numFmtId="178" fontId="15" fillId="0" borderId="2" xfId="0" applyNumberFormat="1" applyFont="1" applyBorder="1" applyAlignment="1">
      <alignment horizontal="center" vertical="center"/>
    </xf>
    <xf numFmtId="178" fontId="15" fillId="0" borderId="43" xfId="0" applyNumberFormat="1" applyFont="1" applyBorder="1" applyAlignment="1">
      <alignment horizontal="center" vertical="center"/>
    </xf>
    <xf numFmtId="178" fontId="15" fillId="0" borderId="7" xfId="0" applyNumberFormat="1" applyFont="1" applyBorder="1" applyAlignment="1">
      <alignment horizontal="center" vertical="center"/>
    </xf>
    <xf numFmtId="179" fontId="15" fillId="2" borderId="11" xfId="0" applyNumberFormat="1" applyFont="1" applyFill="1" applyBorder="1" applyAlignment="1">
      <alignment horizontal="center" vertical="center"/>
    </xf>
    <xf numFmtId="179" fontId="15" fillId="2" borderId="2" xfId="0" applyNumberFormat="1" applyFont="1" applyFill="1" applyBorder="1" applyAlignment="1">
      <alignment horizontal="center" vertical="center"/>
    </xf>
    <xf numFmtId="179" fontId="15" fillId="2" borderId="7" xfId="0" applyNumberFormat="1" applyFont="1" applyFill="1" applyBorder="1" applyAlignment="1">
      <alignment horizontal="center" vertical="center"/>
    </xf>
    <xf numFmtId="180" fontId="15" fillId="0" borderId="11" xfId="0" applyNumberFormat="1" applyFont="1" applyBorder="1" applyAlignment="1">
      <alignment horizontal="center" vertical="center"/>
    </xf>
    <xf numFmtId="180" fontId="15" fillId="0" borderId="2" xfId="0" applyNumberFormat="1" applyFont="1" applyBorder="1" applyAlignment="1">
      <alignment horizontal="center" vertical="center"/>
    </xf>
    <xf numFmtId="180" fontId="15" fillId="0" borderId="7" xfId="0" applyNumberFormat="1" applyFont="1" applyBorder="1" applyAlignment="1">
      <alignment horizontal="center" vertical="center"/>
    </xf>
    <xf numFmtId="181" fontId="15" fillId="0" borderId="11" xfId="0" applyNumberFormat="1" applyFont="1" applyBorder="1" applyAlignment="1">
      <alignment horizontal="center" vertical="center"/>
    </xf>
    <xf numFmtId="181" fontId="15" fillId="0" borderId="2" xfId="0" applyNumberFormat="1" applyFont="1" applyBorder="1" applyAlignment="1">
      <alignment horizontal="center" vertical="center"/>
    </xf>
    <xf numFmtId="181" fontId="15" fillId="0" borderId="7" xfId="0" applyNumberFormat="1" applyFont="1" applyBorder="1" applyAlignment="1">
      <alignment horizontal="center" vertical="center"/>
    </xf>
    <xf numFmtId="179" fontId="15" fillId="0" borderId="11" xfId="0" applyNumberFormat="1" applyFont="1" applyBorder="1" applyAlignment="1">
      <alignment horizontal="center" vertical="center"/>
    </xf>
    <xf numFmtId="179" fontId="15" fillId="0" borderId="2" xfId="0" applyNumberFormat="1" applyFont="1" applyBorder="1" applyAlignment="1">
      <alignment horizontal="center" vertical="center"/>
    </xf>
    <xf numFmtId="179" fontId="15" fillId="0" borderId="7" xfId="0" applyNumberFormat="1" applyFont="1" applyBorder="1" applyAlignment="1">
      <alignment horizontal="center" vertical="center"/>
    </xf>
    <xf numFmtId="179" fontId="15" fillId="0" borderId="12" xfId="0" applyNumberFormat="1" applyFont="1" applyBorder="1" applyAlignment="1">
      <alignment horizontal="center" vertical="center"/>
    </xf>
    <xf numFmtId="179" fontId="15" fillId="0" borderId="3" xfId="0" applyNumberFormat="1" applyFont="1" applyBorder="1" applyAlignment="1">
      <alignment horizontal="center" vertical="center"/>
    </xf>
    <xf numFmtId="179" fontId="15" fillId="0" borderId="9" xfId="0" applyNumberFormat="1" applyFont="1" applyBorder="1" applyAlignment="1">
      <alignment horizontal="center" vertical="center"/>
    </xf>
    <xf numFmtId="179" fontId="15" fillId="0" borderId="10" xfId="0" applyNumberFormat="1" applyFont="1" applyBorder="1" applyAlignment="1">
      <alignment horizontal="center" vertical="center"/>
    </xf>
    <xf numFmtId="179" fontId="15" fillId="0" borderId="1" xfId="0" applyNumberFormat="1" applyFont="1" applyBorder="1" applyAlignment="1">
      <alignment horizontal="center" vertical="center"/>
    </xf>
    <xf numFmtId="179" fontId="15" fillId="0" borderId="6" xfId="0" applyNumberFormat="1" applyFont="1" applyBorder="1" applyAlignment="1">
      <alignment horizontal="center" vertical="center"/>
    </xf>
    <xf numFmtId="182" fontId="15" fillId="0" borderId="11" xfId="0" applyNumberFormat="1" applyFont="1" applyBorder="1" applyAlignment="1">
      <alignment horizontal="center" vertical="center"/>
    </xf>
    <xf numFmtId="182" fontId="15" fillId="0" borderId="2" xfId="0" applyNumberFormat="1" applyFont="1" applyBorder="1" applyAlignment="1">
      <alignment horizontal="center" vertical="center"/>
    </xf>
    <xf numFmtId="182" fontId="15" fillId="0" borderId="7" xfId="0" applyNumberFormat="1" applyFont="1" applyBorder="1" applyAlignment="1">
      <alignment horizontal="center" vertical="center"/>
    </xf>
    <xf numFmtId="182" fontId="15" fillId="0" borderId="29" xfId="0" applyNumberFormat="1" applyFont="1" applyBorder="1" applyAlignment="1">
      <alignment horizontal="center" vertical="center"/>
    </xf>
    <xf numFmtId="182" fontId="15" fillId="0" borderId="32" xfId="0" applyNumberFormat="1" applyFont="1" applyBorder="1" applyAlignment="1">
      <alignment horizontal="center" vertical="center"/>
    </xf>
    <xf numFmtId="182" fontId="15" fillId="0" borderId="33" xfId="0" applyNumberFormat="1" applyFont="1" applyBorder="1" applyAlignment="1">
      <alignment horizontal="center" vertical="center"/>
    </xf>
    <xf numFmtId="182" fontId="15" fillId="0" borderId="12" xfId="0" applyNumberFormat="1" applyFont="1" applyBorder="1" applyAlignment="1">
      <alignment horizontal="center" vertical="center"/>
    </xf>
    <xf numFmtId="182" fontId="15" fillId="0" borderId="3" xfId="0" applyNumberFormat="1" applyFont="1" applyBorder="1" applyAlignment="1">
      <alignment horizontal="center" vertical="center"/>
    </xf>
    <xf numFmtId="182" fontId="15" fillId="0" borderId="9" xfId="0" applyNumberFormat="1" applyFont="1" applyBorder="1" applyAlignment="1">
      <alignment horizontal="center" vertical="center"/>
    </xf>
    <xf numFmtId="181" fontId="16" fillId="0" borderId="0" xfId="0" applyNumberFormat="1" applyFont="1" applyAlignment="1">
      <alignment horizontal="center" vertical="center"/>
    </xf>
    <xf numFmtId="178" fontId="15" fillId="0" borderId="10" xfId="0" applyNumberFormat="1" applyFont="1" applyBorder="1" applyAlignment="1">
      <alignment horizontal="center" vertical="center"/>
    </xf>
    <xf numFmtId="178" fontId="15" fillId="0" borderId="1" xfId="0" applyNumberFormat="1" applyFont="1" applyBorder="1" applyAlignment="1">
      <alignment horizontal="center" vertical="center"/>
    </xf>
    <xf numFmtId="178" fontId="15" fillId="0" borderId="6" xfId="0" applyNumberFormat="1" applyFont="1" applyBorder="1" applyAlignment="1">
      <alignment horizontal="center" vertical="center"/>
    </xf>
    <xf numFmtId="178" fontId="15" fillId="0" borderId="35" xfId="0" applyNumberFormat="1" applyFont="1" applyBorder="1" applyAlignment="1">
      <alignment horizontal="center" vertical="center"/>
    </xf>
    <xf numFmtId="178" fontId="15" fillId="0" borderId="41" xfId="0" applyNumberFormat="1" applyFont="1" applyBorder="1" applyAlignment="1">
      <alignment horizontal="center" vertical="center"/>
    </xf>
    <xf numFmtId="178" fontId="15" fillId="0" borderId="36" xfId="0" applyNumberFormat="1" applyFont="1" applyBorder="1" applyAlignment="1">
      <alignment horizontal="center" vertical="center"/>
    </xf>
    <xf numFmtId="182" fontId="15" fillId="0" borderId="0" xfId="0" applyNumberFormat="1" applyFont="1" applyAlignment="1">
      <alignment horizontal="center" vertical="center"/>
    </xf>
    <xf numFmtId="178" fontId="15" fillId="0" borderId="12" xfId="0" applyNumberFormat="1" applyFont="1" applyBorder="1" applyAlignment="1">
      <alignment horizontal="center" vertical="center"/>
    </xf>
    <xf numFmtId="178" fontId="15" fillId="0" borderId="3" xfId="0" applyNumberFormat="1" applyFont="1" applyBorder="1" applyAlignment="1">
      <alignment horizontal="center" vertical="center"/>
    </xf>
    <xf numFmtId="178" fontId="15" fillId="0" borderId="9" xfId="0" applyNumberFormat="1" applyFont="1" applyBorder="1" applyAlignment="1">
      <alignment horizontal="center" vertical="center"/>
    </xf>
    <xf numFmtId="182" fontId="15" fillId="0" borderId="10" xfId="0" applyNumberFormat="1" applyFont="1" applyBorder="1" applyAlignment="1">
      <alignment horizontal="center" vertical="center"/>
    </xf>
    <xf numFmtId="182" fontId="15" fillId="0" borderId="1" xfId="0" applyNumberFormat="1" applyFont="1" applyBorder="1" applyAlignment="1">
      <alignment horizontal="center" vertical="center"/>
    </xf>
    <xf numFmtId="182" fontId="15" fillId="0" borderId="6" xfId="0" applyNumberFormat="1" applyFont="1" applyBorder="1" applyAlignment="1">
      <alignment horizontal="center" vertical="center"/>
    </xf>
    <xf numFmtId="182" fontId="15" fillId="2" borderId="12" xfId="0" applyNumberFormat="1" applyFont="1" applyFill="1" applyBorder="1" applyAlignment="1">
      <alignment horizontal="center" vertical="center"/>
    </xf>
    <xf numFmtId="182" fontId="15" fillId="2" borderId="3" xfId="0" applyNumberFormat="1" applyFont="1" applyFill="1" applyBorder="1" applyAlignment="1">
      <alignment horizontal="center" vertical="center"/>
    </xf>
    <xf numFmtId="182" fontId="15" fillId="2" borderId="9" xfId="0" applyNumberFormat="1" applyFont="1" applyFill="1" applyBorder="1" applyAlignment="1">
      <alignment horizontal="center" vertical="center"/>
    </xf>
    <xf numFmtId="183" fontId="15" fillId="0" borderId="13" xfId="0" applyNumberFormat="1" applyFont="1" applyBorder="1" applyAlignment="1">
      <alignment horizontal="center" vertical="center"/>
    </xf>
    <xf numFmtId="183" fontId="15" fillId="0" borderId="42" xfId="0" applyNumberFormat="1" applyFont="1" applyBorder="1" applyAlignment="1">
      <alignment horizontal="center" vertical="center"/>
    </xf>
    <xf numFmtId="183" fontId="15" fillId="0" borderId="14" xfId="0" applyNumberFormat="1" applyFont="1" applyBorder="1" applyAlignment="1">
      <alignment horizontal="center" vertical="center"/>
    </xf>
    <xf numFmtId="181" fontId="15" fillId="0" borderId="0" xfId="0" applyNumberFormat="1" applyFont="1" applyAlignment="1">
      <alignment horizontal="center" vertical="center"/>
    </xf>
    <xf numFmtId="178" fontId="15" fillId="0" borderId="0" xfId="0" applyNumberFormat="1" applyFont="1" applyAlignment="1">
      <alignment horizontal="center" vertical="center"/>
    </xf>
    <xf numFmtId="184" fontId="15" fillId="0" borderId="0" xfId="1" applyNumberFormat="1" applyFont="1" applyAlignment="1">
      <alignment horizontal="center" vertical="center"/>
    </xf>
    <xf numFmtId="184" fontId="15" fillId="0" borderId="0" xfId="1" applyNumberFormat="1" applyFont="1" applyAlignment="1">
      <alignment horizontal="left" vertical="center"/>
    </xf>
    <xf numFmtId="185" fontId="15" fillId="0" borderId="0" xfId="0" applyNumberFormat="1" applyFont="1" applyAlignment="1">
      <alignment horizontal="center" vertical="center"/>
    </xf>
    <xf numFmtId="184" fontId="15" fillId="0" borderId="0" xfId="0" applyNumberFormat="1" applyFont="1" applyAlignment="1">
      <alignment horizontal="center" vertical="center"/>
    </xf>
    <xf numFmtId="185" fontId="15" fillId="0" borderId="0" xfId="0" applyNumberFormat="1" applyFont="1" applyAlignment="1">
      <alignment horizontal="left" vertical="center"/>
    </xf>
    <xf numFmtId="181" fontId="15" fillId="0" borderId="6" xfId="0" applyNumberFormat="1" applyFont="1" applyBorder="1" applyAlignment="1">
      <alignment horizontal="center" vertical="center"/>
    </xf>
    <xf numFmtId="181" fontId="15" fillId="0" borderId="1" xfId="0" applyNumberFormat="1" applyFont="1" applyBorder="1" applyAlignment="1">
      <alignment horizontal="center" vertical="center"/>
    </xf>
    <xf numFmtId="181" fontId="15" fillId="0" borderId="44" xfId="0" applyNumberFormat="1" applyFont="1" applyBorder="1" applyAlignment="1">
      <alignment horizontal="center" vertical="center"/>
    </xf>
    <xf numFmtId="181" fontId="15" fillId="0" borderId="43" xfId="0" applyNumberFormat="1" applyFont="1" applyBorder="1" applyAlignment="1">
      <alignment horizontal="center" vertical="center"/>
    </xf>
    <xf numFmtId="181" fontId="15" fillId="0" borderId="6" xfId="0" applyNumberFormat="1" applyFont="1" applyBorder="1" applyAlignment="1">
      <alignment vertical="center"/>
    </xf>
    <xf numFmtId="178" fontId="15" fillId="2" borderId="7" xfId="0" applyNumberFormat="1" applyFont="1" applyFill="1" applyBorder="1" applyAlignment="1">
      <alignment horizontal="center" vertical="center"/>
    </xf>
    <xf numFmtId="178" fontId="15" fillId="2" borderId="2" xfId="0" applyNumberFormat="1" applyFont="1" applyFill="1" applyBorder="1" applyAlignment="1">
      <alignment horizontal="center" vertical="center"/>
    </xf>
    <xf numFmtId="181" fontId="15" fillId="0" borderId="7" xfId="0" applyNumberFormat="1" applyFont="1" applyBorder="1" applyAlignment="1">
      <alignment vertical="center"/>
    </xf>
    <xf numFmtId="181" fontId="15" fillId="0" borderId="2" xfId="0" applyNumberFormat="1" applyFont="1" applyBorder="1" applyAlignment="1">
      <alignment vertical="center"/>
    </xf>
    <xf numFmtId="179" fontId="15" fillId="0" borderId="9" xfId="0" applyNumberFormat="1" applyFont="1" applyBorder="1" applyAlignment="1">
      <alignment vertical="center"/>
    </xf>
    <xf numFmtId="179" fontId="15" fillId="0" borderId="3" xfId="0" applyNumberFormat="1" applyFont="1" applyBorder="1" applyAlignment="1">
      <alignment vertical="center"/>
    </xf>
    <xf numFmtId="181" fontId="15" fillId="2" borderId="6" xfId="0" applyNumberFormat="1" applyFont="1" applyFill="1" applyBorder="1" applyAlignment="1">
      <alignment vertical="center"/>
    </xf>
    <xf numFmtId="181" fontId="15" fillId="2" borderId="1" xfId="0" applyNumberFormat="1" applyFont="1" applyFill="1" applyBorder="1" applyAlignment="1">
      <alignment vertical="center"/>
    </xf>
    <xf numFmtId="181" fontId="15" fillId="2" borderId="7" xfId="0" applyNumberFormat="1" applyFont="1" applyFill="1" applyBorder="1" applyAlignment="1">
      <alignment vertical="center"/>
    </xf>
    <xf numFmtId="181" fontId="15" fillId="2" borderId="2" xfId="0" applyNumberFormat="1" applyFont="1" applyFill="1" applyBorder="1" applyAlignment="1">
      <alignment vertical="center"/>
    </xf>
    <xf numFmtId="179" fontId="15" fillId="0" borderId="7" xfId="0" applyNumberFormat="1" applyFont="1" applyBorder="1" applyAlignment="1">
      <alignment vertical="center"/>
    </xf>
    <xf numFmtId="179" fontId="15" fillId="0" borderId="2" xfId="0" applyNumberFormat="1" applyFont="1" applyBorder="1" applyAlignment="1">
      <alignment vertical="center"/>
    </xf>
    <xf numFmtId="178" fontId="15" fillId="2" borderId="6" xfId="0" applyNumberFormat="1" applyFont="1" applyFill="1" applyBorder="1" applyAlignment="1">
      <alignment vertical="center"/>
    </xf>
    <xf numFmtId="178" fontId="15" fillId="4" borderId="1" xfId="0" applyNumberFormat="1" applyFont="1" applyFill="1" applyBorder="1" applyAlignment="1">
      <alignment vertical="center"/>
    </xf>
    <xf numFmtId="178" fontId="15" fillId="0" borderId="7" xfId="0" applyNumberFormat="1" applyFont="1" applyBorder="1" applyAlignment="1">
      <alignment vertical="center" shrinkToFit="1"/>
    </xf>
    <xf numFmtId="178" fontId="15" fillId="0" borderId="2" xfId="0" applyNumberFormat="1" applyFont="1" applyBorder="1" applyAlignment="1">
      <alignment vertical="center" shrinkToFit="1"/>
    </xf>
    <xf numFmtId="180" fontId="15" fillId="0" borderId="7" xfId="0" applyNumberFormat="1" applyFont="1" applyBorder="1" applyAlignment="1">
      <alignment vertical="center"/>
    </xf>
    <xf numFmtId="180" fontId="15" fillId="0" borderId="2" xfId="0" applyNumberFormat="1" applyFont="1" applyBorder="1" applyAlignment="1">
      <alignment vertical="center"/>
    </xf>
    <xf numFmtId="178" fontId="15" fillId="0" borderId="6" xfId="0" applyNumberFormat="1" applyFont="1" applyBorder="1" applyAlignment="1">
      <alignment vertical="center"/>
    </xf>
    <xf numFmtId="178" fontId="15" fillId="0" borderId="1" xfId="0" applyNumberFormat="1" applyFont="1" applyBorder="1" applyAlignment="1">
      <alignment vertical="center"/>
    </xf>
    <xf numFmtId="178" fontId="15" fillId="0" borderId="7" xfId="0" applyNumberFormat="1" applyFont="1" applyBorder="1" applyAlignment="1">
      <alignment vertical="center"/>
    </xf>
    <xf numFmtId="178" fontId="15" fillId="0" borderId="2" xfId="0" applyNumberFormat="1" applyFont="1" applyBorder="1" applyAlignment="1">
      <alignment vertical="center"/>
    </xf>
    <xf numFmtId="178" fontId="15" fillId="0" borderId="7" xfId="0" applyNumberFormat="1" applyFont="1" applyBorder="1" applyAlignment="1">
      <alignment horizontal="right" vertical="center"/>
    </xf>
    <xf numFmtId="178" fontId="15" fillId="0" borderId="2" xfId="0" applyNumberFormat="1" applyFont="1" applyBorder="1" applyAlignment="1">
      <alignment horizontal="right" vertical="center"/>
    </xf>
    <xf numFmtId="178" fontId="15" fillId="0" borderId="9" xfId="0" applyNumberFormat="1" applyFont="1" applyBorder="1" applyAlignment="1">
      <alignment horizontal="right" vertical="center"/>
    </xf>
    <xf numFmtId="178" fontId="15" fillId="0" borderId="3" xfId="0" applyNumberFormat="1" applyFont="1" applyBorder="1" applyAlignment="1">
      <alignment horizontal="right" vertical="center"/>
    </xf>
    <xf numFmtId="180" fontId="15" fillId="0" borderId="6" xfId="0" applyNumberFormat="1" applyFont="1" applyBorder="1" applyAlignment="1">
      <alignment vertical="center"/>
    </xf>
    <xf numFmtId="180" fontId="15" fillId="0" borderId="1" xfId="0" applyNumberFormat="1" applyFont="1" applyBorder="1" applyAlignment="1">
      <alignment vertical="center"/>
    </xf>
    <xf numFmtId="181" fontId="15" fillId="0" borderId="35" xfId="0" applyNumberFormat="1" applyFont="1" applyBorder="1" applyAlignment="1">
      <alignment horizontal="center" vertical="center"/>
    </xf>
    <xf numFmtId="181" fontId="15" fillId="0" borderId="41" xfId="0" applyNumberFormat="1" applyFont="1" applyBorder="1" applyAlignment="1">
      <alignment horizontal="center" vertical="center"/>
    </xf>
    <xf numFmtId="181" fontId="15" fillId="0" borderId="72" xfId="0" applyNumberFormat="1" applyFont="1" applyBorder="1" applyAlignment="1">
      <alignment horizontal="center" vertical="center"/>
    </xf>
    <xf numFmtId="181" fontId="15" fillId="0" borderId="18" xfId="0" applyNumberFormat="1" applyFont="1" applyBorder="1" applyAlignment="1">
      <alignment horizontal="center" vertical="center"/>
    </xf>
    <xf numFmtId="180" fontId="15" fillId="0" borderId="73" xfId="0" applyNumberFormat="1" applyFont="1" applyBorder="1" applyAlignment="1">
      <alignment horizontal="center" vertical="center"/>
    </xf>
    <xf numFmtId="181" fontId="15" fillId="0" borderId="73" xfId="0" applyNumberFormat="1" applyFont="1" applyBorder="1" applyAlignment="1">
      <alignment horizontal="center" vertical="center"/>
    </xf>
    <xf numFmtId="178" fontId="15" fillId="0" borderId="73" xfId="0" applyNumberFormat="1" applyFont="1" applyBorder="1" applyAlignment="1">
      <alignment horizontal="center" vertical="center"/>
    </xf>
    <xf numFmtId="181" fontId="15" fillId="0" borderId="10" xfId="0" applyNumberFormat="1" applyFont="1" applyBorder="1" applyAlignment="1">
      <alignment vertical="center"/>
    </xf>
    <xf numFmtId="181" fontId="15" fillId="0" borderId="68" xfId="0" applyNumberFormat="1" applyFont="1" applyBorder="1" applyAlignment="1">
      <alignment vertical="center"/>
    </xf>
    <xf numFmtId="178" fontId="15" fillId="4" borderId="11" xfId="0" applyNumberFormat="1" applyFont="1" applyFill="1" applyBorder="1" applyAlignment="1">
      <alignment horizontal="center" vertical="center"/>
    </xf>
    <xf numFmtId="178" fontId="15" fillId="4" borderId="2" xfId="0" applyNumberFormat="1" applyFont="1" applyFill="1" applyBorder="1" applyAlignment="1">
      <alignment horizontal="center" vertical="center"/>
    </xf>
    <xf numFmtId="178" fontId="15" fillId="4" borderId="4" xfId="0" applyNumberFormat="1" applyFont="1" applyFill="1" applyBorder="1" applyAlignment="1">
      <alignment horizontal="center" vertical="center"/>
    </xf>
    <xf numFmtId="181" fontId="15" fillId="0" borderId="11" xfId="0" applyNumberFormat="1" applyFont="1" applyBorder="1" applyAlignment="1">
      <alignment vertical="center"/>
    </xf>
    <xf numFmtId="181" fontId="15" fillId="0" borderId="4" xfId="0" applyNumberFormat="1" applyFont="1" applyBorder="1" applyAlignment="1">
      <alignment vertical="center"/>
    </xf>
    <xf numFmtId="179" fontId="15" fillId="0" borderId="12" xfId="0" applyNumberFormat="1" applyFont="1" applyBorder="1" applyAlignment="1">
      <alignment vertical="center"/>
    </xf>
    <xf numFmtId="179" fontId="15" fillId="0" borderId="8" xfId="0" applyNumberFormat="1" applyFont="1" applyBorder="1" applyAlignment="1">
      <alignment vertical="center"/>
    </xf>
    <xf numFmtId="181" fontId="15" fillId="4" borderId="46" xfId="0" applyNumberFormat="1" applyFont="1" applyFill="1" applyBorder="1" applyAlignment="1">
      <alignment vertical="center"/>
    </xf>
    <xf numFmtId="181" fontId="15" fillId="4" borderId="1" xfId="0" applyNumberFormat="1" applyFont="1" applyFill="1" applyBorder="1" applyAlignment="1">
      <alignment vertical="center"/>
    </xf>
    <xf numFmtId="181" fontId="15" fillId="4" borderId="5" xfId="0" applyNumberFormat="1" applyFont="1" applyFill="1" applyBorder="1" applyAlignment="1">
      <alignment vertical="center"/>
    </xf>
    <xf numFmtId="181" fontId="15" fillId="4" borderId="61" xfId="0" applyNumberFormat="1" applyFont="1" applyFill="1" applyBorder="1" applyAlignment="1">
      <alignment vertical="center"/>
    </xf>
    <xf numFmtId="181" fontId="15" fillId="4" borderId="2" xfId="0" applyNumberFormat="1" applyFont="1" applyFill="1" applyBorder="1" applyAlignment="1">
      <alignment vertical="center"/>
    </xf>
    <xf numFmtId="181" fontId="15" fillId="4" borderId="4" xfId="0" applyNumberFormat="1" applyFont="1" applyFill="1" applyBorder="1" applyAlignment="1">
      <alignment vertical="center"/>
    </xf>
    <xf numFmtId="179" fontId="15" fillId="0" borderId="11" xfId="0" applyNumberFormat="1" applyFont="1" applyBorder="1" applyAlignment="1">
      <alignment vertical="center"/>
    </xf>
    <xf numFmtId="179" fontId="15" fillId="0" borderId="4" xfId="0" applyNumberFormat="1" applyFont="1" applyBorder="1" applyAlignment="1">
      <alignment vertical="center"/>
    </xf>
    <xf numFmtId="178" fontId="15" fillId="4" borderId="10" xfId="0" applyNumberFormat="1" applyFont="1" applyFill="1" applyBorder="1" applyAlignment="1">
      <alignment vertical="center"/>
    </xf>
    <xf numFmtId="178" fontId="15" fillId="4" borderId="5" xfId="0" applyNumberFormat="1" applyFont="1" applyFill="1" applyBorder="1" applyAlignment="1">
      <alignment vertical="center"/>
    </xf>
    <xf numFmtId="178" fontId="15" fillId="0" borderId="11" xfId="0" applyNumberFormat="1" applyFont="1" applyBorder="1" applyAlignment="1">
      <alignment vertical="center" shrinkToFit="1"/>
    </xf>
    <xf numFmtId="178" fontId="15" fillId="0" borderId="4" xfId="0" applyNumberFormat="1" applyFont="1" applyBorder="1" applyAlignment="1">
      <alignment vertical="center" shrinkToFit="1"/>
    </xf>
    <xf numFmtId="180" fontId="15" fillId="0" borderId="11" xfId="0" applyNumberFormat="1" applyFont="1" applyBorder="1" applyAlignment="1">
      <alignment vertical="center"/>
    </xf>
    <xf numFmtId="180" fontId="15" fillId="0" borderId="4" xfId="0" applyNumberFormat="1" applyFont="1" applyBorder="1" applyAlignment="1">
      <alignment vertical="center"/>
    </xf>
    <xf numFmtId="180" fontId="15" fillId="0" borderId="73" xfId="0" applyNumberFormat="1" applyFont="1" applyBorder="1" applyAlignment="1">
      <alignment vertical="center"/>
    </xf>
    <xf numFmtId="178" fontId="15" fillId="0" borderId="10" xfId="0" applyNumberFormat="1" applyFont="1" applyBorder="1" applyAlignment="1">
      <alignment vertical="center"/>
    </xf>
    <xf numFmtId="178" fontId="15" fillId="0" borderId="5" xfId="0" applyNumberFormat="1" applyFont="1" applyBorder="1" applyAlignment="1">
      <alignment vertical="center"/>
    </xf>
    <xf numFmtId="178" fontId="15" fillId="0" borderId="11" xfId="0" applyNumberFormat="1" applyFont="1" applyBorder="1" applyAlignment="1">
      <alignment vertical="center"/>
    </xf>
    <xf numFmtId="178" fontId="15" fillId="0" borderId="73" xfId="0" applyNumberFormat="1" applyFont="1" applyBorder="1" applyAlignment="1">
      <alignment vertical="center"/>
    </xf>
    <xf numFmtId="178" fontId="15" fillId="0" borderId="4" xfId="0" applyNumberFormat="1" applyFont="1" applyBorder="1" applyAlignment="1">
      <alignment vertical="center"/>
    </xf>
    <xf numFmtId="178" fontId="15" fillId="0" borderId="11" xfId="0" applyNumberFormat="1" applyFont="1" applyBorder="1" applyAlignment="1">
      <alignment horizontal="right" vertical="center"/>
    </xf>
    <xf numFmtId="178" fontId="15" fillId="0" borderId="4" xfId="0" applyNumberFormat="1" applyFont="1" applyBorder="1" applyAlignment="1">
      <alignment horizontal="right" vertical="center"/>
    </xf>
    <xf numFmtId="178" fontId="15" fillId="0" borderId="12" xfId="0" applyNumberFormat="1" applyFont="1" applyBorder="1" applyAlignment="1">
      <alignment horizontal="right" vertical="center"/>
    </xf>
    <xf numFmtId="178" fontId="15" fillId="0" borderId="8" xfId="0" applyNumberFormat="1" applyFont="1" applyBorder="1" applyAlignment="1">
      <alignment horizontal="right" vertical="center"/>
    </xf>
    <xf numFmtId="180" fontId="15" fillId="0" borderId="10" xfId="0" applyNumberFormat="1" applyFont="1" applyBorder="1" applyAlignment="1">
      <alignment vertical="center"/>
    </xf>
    <xf numFmtId="180" fontId="15" fillId="0" borderId="5" xfId="0" applyNumberFormat="1" applyFont="1" applyBorder="1" applyAlignment="1">
      <alignment vertical="center"/>
    </xf>
    <xf numFmtId="178" fontId="15" fillId="4" borderId="7" xfId="0" applyNumberFormat="1" applyFont="1" applyFill="1" applyBorder="1" applyAlignment="1">
      <alignment horizontal="center" vertical="center"/>
    </xf>
    <xf numFmtId="181" fontId="15" fillId="4" borderId="6" xfId="0" applyNumberFormat="1" applyFont="1" applyFill="1" applyBorder="1" applyAlignment="1">
      <alignment vertical="center"/>
    </xf>
    <xf numFmtId="181" fontId="15" fillId="4" borderId="7" xfId="0" applyNumberFormat="1" applyFont="1" applyFill="1" applyBorder="1" applyAlignment="1">
      <alignment vertical="center"/>
    </xf>
    <xf numFmtId="178" fontId="15" fillId="4" borderId="6" xfId="0" applyNumberFormat="1" applyFont="1" applyFill="1" applyBorder="1" applyAlignment="1">
      <alignment vertical="center"/>
    </xf>
    <xf numFmtId="181" fontId="8" fillId="0" borderId="18" xfId="0" applyNumberFormat="1" applyFont="1" applyBorder="1" applyAlignment="1">
      <alignment horizontal="center" vertical="center" shrinkToFit="1"/>
    </xf>
    <xf numFmtId="181" fontId="8" fillId="0" borderId="21" xfId="0" applyNumberFormat="1" applyFont="1" applyBorder="1" applyAlignment="1">
      <alignment horizontal="center" vertical="center" shrinkToFit="1"/>
    </xf>
    <xf numFmtId="181" fontId="8" fillId="0" borderId="36" xfId="0" applyNumberFormat="1" applyFont="1" applyBorder="1" applyAlignment="1">
      <alignment vertical="center"/>
    </xf>
    <xf numFmtId="179" fontId="8" fillId="3" borderId="7" xfId="0" applyNumberFormat="1" applyFont="1" applyFill="1" applyBorder="1" applyAlignment="1">
      <alignment vertical="center"/>
    </xf>
    <xf numFmtId="179" fontId="8" fillId="3" borderId="2" xfId="0" applyNumberFormat="1" applyFont="1" applyFill="1" applyBorder="1" applyAlignment="1">
      <alignment vertical="center"/>
    </xf>
    <xf numFmtId="179" fontId="8" fillId="3" borderId="43" xfId="0" applyNumberFormat="1" applyFont="1" applyFill="1" applyBorder="1" applyAlignment="1">
      <alignment vertical="center"/>
    </xf>
    <xf numFmtId="179" fontId="8" fillId="2" borderId="61" xfId="0" applyNumberFormat="1" applyFont="1" applyFill="1" applyBorder="1" applyAlignment="1">
      <alignment vertical="center"/>
    </xf>
    <xf numFmtId="179" fontId="8" fillId="2" borderId="4" xfId="0" applyNumberFormat="1" applyFont="1" applyFill="1" applyBorder="1" applyAlignment="1">
      <alignment vertical="center"/>
    </xf>
    <xf numFmtId="181" fontId="8" fillId="3" borderId="11" xfId="0" applyNumberFormat="1" applyFont="1" applyFill="1" applyBorder="1" applyAlignment="1">
      <alignment vertical="center"/>
    </xf>
    <xf numFmtId="181" fontId="8" fillId="3" borderId="2" xfId="0" applyNumberFormat="1" applyFont="1" applyFill="1" applyBorder="1" applyAlignment="1">
      <alignment vertical="center"/>
    </xf>
    <xf numFmtId="181" fontId="8" fillId="0" borderId="61" xfId="0" applyNumberFormat="1" applyFont="1" applyBorder="1" applyAlignment="1">
      <alignment vertical="center"/>
    </xf>
    <xf numFmtId="181" fontId="8" fillId="0" borderId="4" xfId="0" applyNumberFormat="1" applyFont="1" applyBorder="1" applyAlignment="1">
      <alignment vertical="center"/>
    </xf>
    <xf numFmtId="181" fontId="8" fillId="0" borderId="33" xfId="0" applyNumberFormat="1" applyFont="1" applyBorder="1" applyAlignment="1">
      <alignment vertical="center"/>
    </xf>
    <xf numFmtId="181" fontId="8" fillId="0" borderId="32" xfId="0" applyNumberFormat="1" applyFont="1" applyBorder="1" applyAlignment="1">
      <alignment vertical="center"/>
    </xf>
    <xf numFmtId="181" fontId="8" fillId="0" borderId="51" xfId="0" applyNumberFormat="1" applyFont="1" applyBorder="1" applyAlignment="1">
      <alignment vertical="center"/>
    </xf>
    <xf numFmtId="181" fontId="8" fillId="0" borderId="9" xfId="0" applyNumberFormat="1" applyFont="1" applyBorder="1" applyAlignment="1">
      <alignment vertical="center"/>
    </xf>
    <xf numFmtId="181" fontId="8" fillId="0" borderId="3" xfId="0" applyNumberFormat="1" applyFont="1" applyBorder="1" applyAlignment="1">
      <alignment vertical="center"/>
    </xf>
    <xf numFmtId="181" fontId="8" fillId="0" borderId="45" xfId="0" applyNumberFormat="1" applyFont="1" applyBorder="1" applyAlignment="1">
      <alignment vertical="center"/>
    </xf>
    <xf numFmtId="179" fontId="8" fillId="0" borderId="47" xfId="0" applyNumberFormat="1" applyFont="1" applyBorder="1" applyAlignment="1">
      <alignment vertical="center"/>
    </xf>
    <xf numFmtId="179" fontId="8" fillId="0" borderId="8" xfId="0" applyNumberFormat="1" applyFont="1" applyBorder="1" applyAlignment="1">
      <alignment vertical="center"/>
    </xf>
    <xf numFmtId="181" fontId="8" fillId="0" borderId="46" xfId="0" applyNumberFormat="1" applyFont="1" applyBorder="1" applyAlignment="1">
      <alignment vertical="center"/>
    </xf>
    <xf numFmtId="181" fontId="8" fillId="0" borderId="5" xfId="0" applyNumberFormat="1" applyFont="1" applyBorder="1" applyAlignment="1">
      <alignment vertical="center"/>
    </xf>
    <xf numFmtId="180" fontId="8" fillId="2" borderId="43" xfId="0" applyNumberFormat="1" applyFont="1" applyFill="1" applyBorder="1" applyAlignment="1">
      <alignment vertical="center"/>
    </xf>
    <xf numFmtId="180" fontId="8" fillId="2" borderId="61" xfId="0" applyNumberFormat="1" applyFont="1" applyFill="1" applyBorder="1" applyAlignment="1">
      <alignment vertical="center"/>
    </xf>
    <xf numFmtId="180" fontId="8" fillId="2" borderId="4" xfId="0" applyNumberFormat="1" applyFont="1" applyFill="1" applyBorder="1" applyAlignment="1">
      <alignment vertical="center"/>
    </xf>
    <xf numFmtId="181" fontId="8" fillId="2" borderId="46" xfId="0" applyNumberFormat="1" applyFont="1" applyFill="1" applyBorder="1" applyAlignment="1">
      <alignment vertical="center"/>
    </xf>
    <xf numFmtId="181" fontId="8" fillId="2" borderId="5" xfId="0" applyNumberFormat="1" applyFont="1" applyFill="1" applyBorder="1" applyAlignment="1">
      <alignment vertical="center"/>
    </xf>
    <xf numFmtId="181" fontId="8" fillId="2" borderId="61" xfId="0" applyNumberFormat="1" applyFont="1" applyFill="1" applyBorder="1" applyAlignment="1">
      <alignment vertical="center"/>
    </xf>
    <xf numFmtId="181" fontId="8" fillId="2" borderId="4" xfId="0" applyNumberFormat="1" applyFont="1" applyFill="1" applyBorder="1" applyAlignment="1">
      <alignment vertical="center"/>
    </xf>
    <xf numFmtId="179" fontId="8" fillId="0" borderId="61" xfId="0" applyNumberFormat="1" applyFont="1" applyBorder="1" applyAlignment="1">
      <alignment vertical="center"/>
    </xf>
    <xf numFmtId="179" fontId="8" fillId="0" borderId="4" xfId="0" applyNumberFormat="1" applyFont="1" applyBorder="1" applyAlignment="1">
      <alignment vertical="center"/>
    </xf>
    <xf numFmtId="180" fontId="8" fillId="0" borderId="61" xfId="0" applyNumberFormat="1" applyFont="1" applyBorder="1" applyAlignment="1">
      <alignment vertical="center"/>
    </xf>
    <xf numFmtId="180" fontId="8" fillId="0" borderId="4" xfId="0" applyNumberFormat="1" applyFont="1" applyBorder="1" applyAlignment="1">
      <alignment vertical="center"/>
    </xf>
    <xf numFmtId="178" fontId="8" fillId="0" borderId="46" xfId="0" applyNumberFormat="1" applyFont="1" applyBorder="1" applyAlignment="1">
      <alignment vertical="center"/>
    </xf>
    <xf numFmtId="178" fontId="8" fillId="0" borderId="5" xfId="0" applyNumberFormat="1" applyFont="1" applyBorder="1" applyAlignment="1">
      <alignment vertical="center"/>
    </xf>
    <xf numFmtId="178" fontId="8" fillId="0" borderId="61" xfId="0" applyNumberFormat="1" applyFont="1" applyBorder="1" applyAlignment="1">
      <alignment vertical="center"/>
    </xf>
    <xf numFmtId="178" fontId="8" fillId="0" borderId="4" xfId="0" applyNumberFormat="1" applyFont="1" applyBorder="1" applyAlignment="1">
      <alignment vertical="center"/>
    </xf>
    <xf numFmtId="178" fontId="8" fillId="0" borderId="61" xfId="0" applyNumberFormat="1" applyFont="1" applyBorder="1" applyAlignment="1">
      <alignment horizontal="right" vertical="center"/>
    </xf>
    <xf numFmtId="178" fontId="8" fillId="0" borderId="4" xfId="0" applyNumberFormat="1" applyFont="1" applyBorder="1" applyAlignment="1">
      <alignment horizontal="right" vertical="center"/>
    </xf>
    <xf numFmtId="178" fontId="8" fillId="0" borderId="47" xfId="0" applyNumberFormat="1" applyFont="1" applyBorder="1" applyAlignment="1">
      <alignment horizontal="right" vertical="center"/>
    </xf>
    <xf numFmtId="178" fontId="8" fillId="0" borderId="8" xfId="0" applyNumberFormat="1" applyFont="1" applyBorder="1" applyAlignment="1">
      <alignment horizontal="right" vertical="center"/>
    </xf>
    <xf numFmtId="180" fontId="8" fillId="0" borderId="46" xfId="0" applyNumberFormat="1" applyFont="1" applyBorder="1" applyAlignment="1">
      <alignment vertical="center"/>
    </xf>
    <xf numFmtId="180" fontId="8" fillId="0" borderId="5" xfId="0" applyNumberFormat="1" applyFont="1" applyBorder="1" applyAlignment="1">
      <alignment vertical="center"/>
    </xf>
    <xf numFmtId="181" fontId="8" fillId="0" borderId="41" xfId="0" applyNumberFormat="1" applyFont="1" applyBorder="1" applyAlignment="1">
      <alignment vertical="center"/>
    </xf>
    <xf numFmtId="179" fontId="8" fillId="3" borderId="52" xfId="0" applyNumberFormat="1" applyFont="1" applyFill="1" applyBorder="1" applyAlignment="1">
      <alignment vertical="center"/>
    </xf>
    <xf numFmtId="181" fontId="8" fillId="3" borderId="43" xfId="0" applyNumberFormat="1" applyFont="1" applyFill="1" applyBorder="1" applyAlignment="1">
      <alignment vertical="center"/>
    </xf>
    <xf numFmtId="181" fontId="8" fillId="3" borderId="52" xfId="0" applyNumberFormat="1" applyFont="1" applyFill="1" applyBorder="1" applyAlignment="1">
      <alignment vertical="center"/>
    </xf>
    <xf numFmtId="185" fontId="8" fillId="3" borderId="2" xfId="0" applyNumberFormat="1" applyFont="1" applyFill="1" applyBorder="1" applyAlignment="1">
      <alignment vertical="center"/>
    </xf>
    <xf numFmtId="181" fontId="8" fillId="0" borderId="52" xfId="0" applyNumberFormat="1" applyFont="1" applyBorder="1" applyAlignment="1">
      <alignment vertical="center"/>
    </xf>
    <xf numFmtId="179" fontId="8" fillId="0" borderId="52" xfId="0" applyNumberFormat="1" applyFont="1" applyBorder="1" applyAlignment="1">
      <alignment vertical="center"/>
    </xf>
    <xf numFmtId="181" fontId="8" fillId="0" borderId="58" xfId="0" applyNumberFormat="1" applyFont="1" applyBorder="1" applyAlignment="1">
      <alignment vertical="center"/>
    </xf>
    <xf numFmtId="181" fontId="8" fillId="0" borderId="53" xfId="0" applyNumberFormat="1" applyFont="1" applyBorder="1" applyAlignment="1">
      <alignment vertical="center"/>
    </xf>
    <xf numFmtId="180" fontId="0" fillId="0" borderId="16" xfId="0" applyNumberFormat="1" applyBorder="1" applyAlignment="1">
      <alignment horizontal="right" vertical="center"/>
    </xf>
    <xf numFmtId="180" fontId="0" fillId="0" borderId="22" xfId="0" applyNumberFormat="1" applyBorder="1" applyAlignment="1">
      <alignment horizontal="right" vertical="center"/>
    </xf>
    <xf numFmtId="180" fontId="0" fillId="0" borderId="17" xfId="0" applyNumberFormat="1" applyBorder="1" applyAlignment="1">
      <alignment horizontal="right" vertical="center"/>
    </xf>
    <xf numFmtId="180" fontId="0" fillId="0" borderId="31" xfId="0" applyNumberFormat="1" applyBorder="1" applyAlignment="1">
      <alignment horizontal="right" vertical="center"/>
    </xf>
    <xf numFmtId="180" fontId="0" fillId="0" borderId="24" xfId="0" applyNumberFormat="1" applyBorder="1" applyAlignment="1">
      <alignment horizontal="right" vertical="center"/>
    </xf>
    <xf numFmtId="180" fontId="0" fillId="0" borderId="25" xfId="0" applyNumberFormat="1" applyBorder="1" applyAlignment="1">
      <alignment horizontal="right" vertical="center"/>
    </xf>
    <xf numFmtId="180" fontId="0" fillId="0" borderId="0" xfId="0" applyNumberFormat="1" applyAlignment="1">
      <alignment horizontal="right" vertical="center"/>
    </xf>
    <xf numFmtId="180" fontId="0" fillId="0" borderId="18" xfId="0" applyNumberFormat="1" applyBorder="1" applyAlignment="1">
      <alignment horizontal="right" vertical="center"/>
    </xf>
    <xf numFmtId="180" fontId="0" fillId="0" borderId="19" xfId="0" applyNumberFormat="1" applyBorder="1" applyAlignment="1">
      <alignment horizontal="right" vertical="center"/>
    </xf>
    <xf numFmtId="180" fontId="0" fillId="0" borderId="23" xfId="0" applyNumberFormat="1" applyBorder="1" applyAlignment="1">
      <alignment horizontal="right" vertical="center"/>
    </xf>
    <xf numFmtId="180" fontId="0" fillId="0" borderId="20" xfId="0" applyNumberFormat="1" applyBorder="1" applyAlignment="1">
      <alignment horizontal="right" vertical="center"/>
    </xf>
    <xf numFmtId="180" fontId="0" fillId="0" borderId="21" xfId="0" applyNumberFormat="1" applyBorder="1" applyAlignment="1">
      <alignment horizontal="right" vertical="center"/>
    </xf>
    <xf numFmtId="0" fontId="2" fillId="0" borderId="70" xfId="0" applyFont="1" applyBorder="1" applyAlignment="1">
      <alignment horizontal="center" vertical="center" textRotation="90" wrapText="1"/>
    </xf>
    <xf numFmtId="0" fontId="0" fillId="0" borderId="64" xfId="0" applyBorder="1" applyAlignment="1"/>
    <xf numFmtId="0" fontId="2" fillId="0" borderId="15" xfId="0" applyFont="1" applyBorder="1" applyAlignment="1">
      <alignment horizontal="center" vertical="center" shrinkToFit="1"/>
    </xf>
    <xf numFmtId="0" fontId="0" fillId="0" borderId="14" xfId="0" applyBorder="1" applyAlignment="1"/>
    <xf numFmtId="0" fontId="0" fillId="0" borderId="26" xfId="0" applyBorder="1" applyAlignment="1"/>
    <xf numFmtId="0" fontId="0" fillId="0" borderId="66" xfId="0" applyBorder="1" applyAlignment="1"/>
    <xf numFmtId="0" fontId="5" fillId="0" borderId="27" xfId="0" applyFont="1" applyBorder="1" applyAlignment="1">
      <alignment horizontal="center" vertical="center"/>
    </xf>
    <xf numFmtId="0" fontId="0" fillId="0" borderId="6" xfId="0" applyBorder="1" applyAlignment="1"/>
    <xf numFmtId="0" fontId="0" fillId="0" borderId="68" xfId="0" applyBorder="1" applyAlignment="1"/>
    <xf numFmtId="0" fontId="2" fillId="0" borderId="30" xfId="0" applyFont="1" applyBorder="1" applyAlignment="1">
      <alignment horizontal="center" vertical="center" shrinkToFit="1"/>
    </xf>
    <xf numFmtId="0" fontId="0" fillId="0" borderId="9" xfId="0" applyBorder="1" applyAlignment="1"/>
    <xf numFmtId="0" fontId="0" fillId="0" borderId="69" xfId="0" applyBorder="1" applyAlignment="1"/>
    <xf numFmtId="0" fontId="5" fillId="0" borderId="2" xfId="0" applyFont="1" applyBorder="1" applyAlignment="1">
      <alignment horizontal="center" vertical="center" shrinkToFit="1"/>
    </xf>
    <xf numFmtId="0" fontId="0" fillId="0" borderId="41" xfId="0" applyBorder="1" applyAlignment="1"/>
    <xf numFmtId="0" fontId="5" fillId="0" borderId="3" xfId="0" applyFont="1" applyBorder="1" applyAlignment="1">
      <alignment horizontal="center" vertical="center" wrapText="1" shrinkToFit="1"/>
    </xf>
    <xf numFmtId="0" fontId="0" fillId="0" borderId="50" xfId="0" applyBorder="1" applyAlignment="1"/>
    <xf numFmtId="0" fontId="0" fillId="0" borderId="57" xfId="0" applyBorder="1" applyAlignment="1"/>
    <xf numFmtId="0" fontId="5" fillId="0" borderId="1" xfId="0" applyFont="1" applyBorder="1" applyAlignment="1">
      <alignment horizontal="center" vertical="center" shrinkToFit="1"/>
    </xf>
    <xf numFmtId="0" fontId="6" fillId="0" borderId="13" xfId="0" applyFont="1" applyBorder="1" applyAlignment="1">
      <alignment horizontal="center" vertical="center" textRotation="90" wrapText="1"/>
    </xf>
    <xf numFmtId="0" fontId="0" fillId="0" borderId="17" xfId="0" applyBorder="1" applyAlignment="1"/>
    <xf numFmtId="0" fontId="0" fillId="0" borderId="19" xfId="0" applyBorder="1" applyAlignment="1"/>
    <xf numFmtId="0" fontId="6" fillId="0" borderId="30" xfId="0" applyFont="1" applyBorder="1" applyAlignment="1">
      <alignment horizontal="center" vertical="center" shrinkToFit="1"/>
    </xf>
    <xf numFmtId="0" fontId="6" fillId="0" borderId="22" xfId="0" applyFont="1" applyBorder="1" applyAlignment="1">
      <alignment horizontal="center" vertical="center"/>
    </xf>
    <xf numFmtId="0" fontId="0" fillId="0" borderId="25" xfId="0" applyBorder="1" applyAlignment="1"/>
    <xf numFmtId="0" fontId="6" fillId="0" borderId="70" xfId="0" applyFont="1" applyBorder="1" applyAlignment="1">
      <alignment horizontal="center" vertical="center" textRotation="90" wrapText="1"/>
    </xf>
    <xf numFmtId="0" fontId="15" fillId="0" borderId="70" xfId="0" applyFont="1" applyBorder="1" applyAlignment="1">
      <alignment horizontal="center" vertical="center" textRotation="90" wrapText="1"/>
    </xf>
    <xf numFmtId="0" fontId="15" fillId="0" borderId="2" xfId="0" applyFont="1" applyBorder="1" applyAlignment="1">
      <alignment horizontal="center" vertical="center" shrinkToFit="1"/>
    </xf>
    <xf numFmtId="0" fontId="15" fillId="0" borderId="3" xfId="0" applyFont="1" applyBorder="1" applyAlignment="1">
      <alignment horizontal="center" vertical="center" wrapText="1" shrinkToFit="1"/>
    </xf>
    <xf numFmtId="0" fontId="15" fillId="0" borderId="15"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3" xfId="0" applyFont="1" applyBorder="1" applyAlignment="1">
      <alignment horizontal="center" vertical="center" textRotation="90" wrapText="1"/>
    </xf>
    <xf numFmtId="0" fontId="15" fillId="0" borderId="27" xfId="0" applyFont="1" applyBorder="1" applyAlignment="1">
      <alignment horizontal="center" vertical="center"/>
    </xf>
    <xf numFmtId="0" fontId="15" fillId="0" borderId="28" xfId="0" applyFont="1" applyBorder="1" applyAlignment="1">
      <alignment horizontal="center" vertical="center" shrinkToFit="1"/>
    </xf>
    <xf numFmtId="0" fontId="0" fillId="0" borderId="73" xfId="0" applyBorder="1" applyAlignment="1"/>
    <xf numFmtId="0" fontId="15" fillId="0" borderId="30" xfId="0" applyFont="1" applyBorder="1" applyAlignment="1">
      <alignment horizontal="center" vertical="center" shrinkToFit="1"/>
    </xf>
    <xf numFmtId="0" fontId="15" fillId="0" borderId="64" xfId="0" applyFont="1" applyBorder="1" applyAlignment="1">
      <alignment horizontal="center" vertical="center" textRotation="90" wrapText="1"/>
    </xf>
    <xf numFmtId="0" fontId="15" fillId="0" borderId="22" xfId="0" applyFont="1" applyBorder="1" applyAlignment="1">
      <alignment horizontal="center" vertical="center"/>
    </xf>
    <xf numFmtId="0" fontId="15" fillId="0" borderId="15" xfId="0" applyFont="1" applyBorder="1" applyAlignment="1">
      <alignment horizontal="center" vertical="center"/>
    </xf>
    <xf numFmtId="0" fontId="15" fillId="0" borderId="27" xfId="0" applyFont="1" applyBorder="1" applyAlignment="1">
      <alignment horizontal="center" vertical="center" shrinkToFit="1"/>
    </xf>
    <xf numFmtId="0" fontId="6" fillId="0" borderId="64" xfId="0" applyFont="1" applyBorder="1" applyAlignment="1">
      <alignment horizontal="center" vertical="center" textRotation="90" wrapText="1"/>
    </xf>
  </cellXfs>
  <cellStyles count="2">
    <cellStyle name="桁区切り" xfId="1" builtinId="6"/>
    <cellStyle name="標準" xfId="0" builtinId="0"/>
  </cellStyles>
  <dxfs count="16">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25134/AppData/Roaming/Microsoft/AddIns/xans.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nswer"/>
    </defined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114"/>
  <sheetViews>
    <sheetView view="pageBreakPreview" zoomScaleNormal="100" zoomScaleSheetLayoutView="100" workbookViewId="0">
      <selection activeCell="P44" sqref="P44"/>
    </sheetView>
  </sheetViews>
  <sheetFormatPr defaultRowHeight="14.25" customHeight="1" x14ac:dyDescent="0.15"/>
  <cols>
    <col min="1" max="2" width="6.125" style="71" customWidth="1"/>
    <col min="3" max="10" width="9" style="71" customWidth="1"/>
    <col min="11" max="11" width="7.125" style="71" customWidth="1"/>
    <col min="12" max="12" width="26" style="75" customWidth="1"/>
    <col min="13" max="13" width="12.625" style="73" customWidth="1"/>
    <col min="14" max="14" width="8.125" style="58" customWidth="1"/>
    <col min="15" max="20" width="8.625" style="71" customWidth="1"/>
    <col min="21" max="22" width="7.125" style="71" customWidth="1"/>
    <col min="23" max="45" width="7.25" style="71" customWidth="1"/>
    <col min="46" max="72" width="9" style="71" customWidth="1"/>
    <col min="73" max="16384" width="9" style="71"/>
  </cols>
  <sheetData>
    <row r="2" spans="1:22" ht="17.25" customHeight="1" x14ac:dyDescent="0.15">
      <c r="A2" s="54"/>
    </row>
    <row r="3" spans="1:22" ht="14.25" customHeight="1" x14ac:dyDescent="0.15">
      <c r="A3" s="54"/>
    </row>
    <row r="4" spans="1:22" ht="14.25" customHeight="1" x14ac:dyDescent="0.15">
      <c r="A4" s="87" t="s">
        <v>0</v>
      </c>
      <c r="K4" s="27" t="s">
        <v>1</v>
      </c>
    </row>
    <row r="5" spans="1:22" ht="14.25" customHeight="1" x14ac:dyDescent="0.15">
      <c r="A5" s="87" t="s">
        <v>2</v>
      </c>
    </row>
    <row r="6" spans="1:22" ht="14.25" customHeight="1" x14ac:dyDescent="0.15">
      <c r="A6" s="116" t="s">
        <v>3</v>
      </c>
      <c r="B6" s="39" t="s">
        <v>4</v>
      </c>
      <c r="C6" s="57"/>
      <c r="K6" s="550" t="s">
        <v>5</v>
      </c>
      <c r="L6" s="551"/>
      <c r="M6" s="551"/>
      <c r="N6" s="552"/>
      <c r="O6" s="94" t="s">
        <v>6</v>
      </c>
      <c r="P6" s="99" t="s">
        <v>7</v>
      </c>
      <c r="Q6" s="92" t="s">
        <v>8</v>
      </c>
      <c r="R6" s="99" t="s">
        <v>9</v>
      </c>
      <c r="S6" s="99" t="s">
        <v>8</v>
      </c>
      <c r="T6" s="92"/>
      <c r="U6" s="58"/>
      <c r="V6" s="58"/>
    </row>
    <row r="7" spans="1:22" ht="14.25" customHeight="1" x14ac:dyDescent="0.15">
      <c r="K7" s="553" t="s">
        <v>10</v>
      </c>
      <c r="L7" s="554"/>
      <c r="M7" s="554"/>
      <c r="N7" s="555"/>
      <c r="O7" s="95" t="s">
        <v>11</v>
      </c>
      <c r="P7" s="100" t="s">
        <v>12</v>
      </c>
      <c r="Q7" s="93" t="s">
        <v>13</v>
      </c>
      <c r="R7" s="100" t="s">
        <v>14</v>
      </c>
      <c r="S7" s="100" t="s">
        <v>15</v>
      </c>
      <c r="T7" s="93"/>
      <c r="U7" s="58"/>
      <c r="V7" s="58"/>
    </row>
    <row r="8" spans="1:22" ht="14.25" customHeight="1" x14ac:dyDescent="0.15">
      <c r="A8" s="87" t="s">
        <v>16</v>
      </c>
      <c r="K8" s="544" t="s">
        <v>17</v>
      </c>
      <c r="L8" s="5" t="s">
        <v>18</v>
      </c>
      <c r="M8" s="107" t="s">
        <v>19</v>
      </c>
      <c r="N8" s="59" t="s">
        <v>20</v>
      </c>
      <c r="O8" s="21">
        <v>1</v>
      </c>
      <c r="P8" s="101">
        <v>1</v>
      </c>
      <c r="Q8" s="22">
        <v>1</v>
      </c>
      <c r="R8" s="101">
        <v>1</v>
      </c>
      <c r="S8" s="101">
        <v>1</v>
      </c>
      <c r="T8" s="22"/>
      <c r="U8" s="58"/>
      <c r="V8" s="58"/>
    </row>
    <row r="9" spans="1:22" ht="14.25" customHeight="1" x14ac:dyDescent="0.15">
      <c r="A9" s="116" t="s">
        <v>21</v>
      </c>
      <c r="B9" s="39" t="s">
        <v>22</v>
      </c>
      <c r="K9" s="549"/>
      <c r="L9" s="6" t="s">
        <v>23</v>
      </c>
      <c r="M9" s="12" t="s">
        <v>24</v>
      </c>
      <c r="N9" s="60" t="s">
        <v>20</v>
      </c>
      <c r="O9" s="241">
        <v>1</v>
      </c>
      <c r="P9" s="242">
        <v>1</v>
      </c>
      <c r="Q9" s="243">
        <v>1</v>
      </c>
      <c r="R9" s="242">
        <v>1</v>
      </c>
      <c r="S9" s="242">
        <v>1</v>
      </c>
      <c r="T9" s="243"/>
      <c r="U9" s="58"/>
      <c r="V9" s="58"/>
    </row>
    <row r="10" spans="1:22" ht="14.25" customHeight="1" x14ac:dyDescent="0.15">
      <c r="K10" s="549"/>
      <c r="L10" s="6" t="s">
        <v>25</v>
      </c>
      <c r="M10" s="61" t="s">
        <v>26</v>
      </c>
      <c r="N10" s="60" t="s">
        <v>20</v>
      </c>
      <c r="O10" s="23">
        <v>8</v>
      </c>
      <c r="P10" s="102">
        <v>9.02</v>
      </c>
      <c r="Q10" s="102">
        <v>9.02</v>
      </c>
      <c r="R10" s="102">
        <v>9.02</v>
      </c>
      <c r="S10" s="102">
        <v>9.02</v>
      </c>
      <c r="T10" s="24"/>
      <c r="U10" s="58"/>
      <c r="V10" s="58"/>
    </row>
    <row r="11" spans="1:22" ht="14.25" customHeight="1" x14ac:dyDescent="0.15">
      <c r="B11" s="244" t="s">
        <v>27</v>
      </c>
      <c r="C11" s="4" t="s">
        <v>28</v>
      </c>
      <c r="D11" s="65"/>
      <c r="K11" s="545"/>
      <c r="L11" s="7" t="s">
        <v>29</v>
      </c>
      <c r="M11" s="62" t="s">
        <v>30</v>
      </c>
      <c r="N11" s="63" t="s">
        <v>31</v>
      </c>
      <c r="O11" s="30">
        <f>+水平!N31</f>
        <v>1100</v>
      </c>
      <c r="P11" s="103">
        <f>+水平!O31</f>
        <v>800</v>
      </c>
      <c r="Q11" s="103">
        <f>+水平!P31</f>
        <v>800</v>
      </c>
      <c r="R11" s="103">
        <f>+水平!Q31</f>
        <v>800</v>
      </c>
      <c r="S11" s="31">
        <f>+水平!R31</f>
        <v>800</v>
      </c>
      <c r="T11" s="31"/>
      <c r="U11" s="64"/>
      <c r="V11" s="64"/>
    </row>
    <row r="12" spans="1:22" ht="14.25" customHeight="1" x14ac:dyDescent="0.15">
      <c r="B12" s="58" t="s">
        <v>32</v>
      </c>
      <c r="C12" s="4" t="s">
        <v>33</v>
      </c>
      <c r="D12" s="65"/>
      <c r="K12" s="544" t="s">
        <v>34</v>
      </c>
      <c r="L12" s="237" t="s">
        <v>35</v>
      </c>
      <c r="M12" s="69" t="s">
        <v>36</v>
      </c>
      <c r="N12" s="15" t="s">
        <v>31</v>
      </c>
      <c r="O12" s="21">
        <v>0</v>
      </c>
      <c r="P12" s="101">
        <v>0</v>
      </c>
      <c r="Q12" s="22">
        <v>0</v>
      </c>
      <c r="R12" s="101">
        <v>0</v>
      </c>
      <c r="S12" s="101">
        <v>0</v>
      </c>
      <c r="T12" s="22"/>
      <c r="U12" s="245"/>
      <c r="V12" s="245"/>
    </row>
    <row r="13" spans="1:22" ht="14.25" customHeight="1" x14ac:dyDescent="0.15">
      <c r="B13" s="58" t="s">
        <v>37</v>
      </c>
      <c r="C13" s="4" t="s">
        <v>38</v>
      </c>
      <c r="D13" s="65"/>
      <c r="K13" s="549"/>
      <c r="L13" s="236" t="s">
        <v>39</v>
      </c>
      <c r="M13" s="61" t="s">
        <v>40</v>
      </c>
      <c r="N13" s="60" t="s">
        <v>41</v>
      </c>
      <c r="O13" s="246">
        <f>15+SQRT(20*O15)</f>
        <v>31.733200530681511</v>
      </c>
      <c r="P13" s="247">
        <f>15+SQRT(20*P15)</f>
        <v>32.320508075688778</v>
      </c>
      <c r="Q13" s="248">
        <f>15+SQRT(20*Q15)</f>
        <v>32.320508075688778</v>
      </c>
      <c r="R13" s="247">
        <f>15+SQRT(20*R15)</f>
        <v>32.320508075688778</v>
      </c>
      <c r="S13" s="247">
        <f>15+SQRT(20*S15)</f>
        <v>32.320508075688778</v>
      </c>
      <c r="T13" s="249"/>
      <c r="U13" s="64"/>
      <c r="V13" s="64"/>
    </row>
    <row r="14" spans="1:22" ht="14.25" customHeight="1" x14ac:dyDescent="0.15">
      <c r="B14" s="58" t="s">
        <v>42</v>
      </c>
      <c r="C14" s="4" t="s">
        <v>43</v>
      </c>
      <c r="D14" s="65"/>
      <c r="K14" s="549"/>
      <c r="L14" s="236" t="s">
        <v>44</v>
      </c>
      <c r="M14" s="61" t="s">
        <v>45</v>
      </c>
      <c r="N14" s="16" t="s">
        <v>46</v>
      </c>
      <c r="O14" s="23">
        <v>6</v>
      </c>
      <c r="P14" s="102">
        <v>6</v>
      </c>
      <c r="Q14" s="24">
        <v>6</v>
      </c>
      <c r="R14" s="102">
        <v>6</v>
      </c>
      <c r="S14" s="102">
        <v>6</v>
      </c>
      <c r="T14" s="24"/>
      <c r="U14" s="64"/>
      <c r="V14" s="64"/>
    </row>
    <row r="15" spans="1:22" ht="14.25" customHeight="1" x14ac:dyDescent="0.15">
      <c r="B15" s="58" t="s">
        <v>47</v>
      </c>
      <c r="C15" s="4" t="s">
        <v>48</v>
      </c>
      <c r="D15" s="65"/>
      <c r="K15" s="549"/>
      <c r="L15" s="236" t="s">
        <v>49</v>
      </c>
      <c r="M15" s="61" t="s">
        <v>50</v>
      </c>
      <c r="N15" s="60"/>
      <c r="O15" s="23">
        <v>14</v>
      </c>
      <c r="P15" s="102">
        <v>15</v>
      </c>
      <c r="Q15" s="106">
        <v>15</v>
      </c>
      <c r="R15" s="102">
        <v>15</v>
      </c>
      <c r="S15" s="102">
        <v>15</v>
      </c>
      <c r="T15" s="24"/>
    </row>
    <row r="16" spans="1:22" ht="14.25" customHeight="1" x14ac:dyDescent="0.15">
      <c r="B16" s="58" t="s">
        <v>51</v>
      </c>
      <c r="C16" s="4" t="s">
        <v>52</v>
      </c>
      <c r="D16" s="65"/>
      <c r="K16" s="549"/>
      <c r="L16" s="236" t="s">
        <v>53</v>
      </c>
      <c r="M16" s="61" t="s">
        <v>54</v>
      </c>
      <c r="N16" s="60" t="s">
        <v>20</v>
      </c>
      <c r="O16" s="250">
        <v>1</v>
      </c>
      <c r="P16" s="251">
        <v>1</v>
      </c>
      <c r="Q16" s="252">
        <v>1</v>
      </c>
      <c r="R16" s="251">
        <v>2</v>
      </c>
      <c r="S16" s="251">
        <v>1</v>
      </c>
      <c r="T16" s="252"/>
    </row>
    <row r="17" spans="2:22" ht="14.25" customHeight="1" x14ac:dyDescent="0.15">
      <c r="B17" s="58" t="s">
        <v>55</v>
      </c>
      <c r="C17" s="4" t="s">
        <v>56</v>
      </c>
      <c r="D17" s="65"/>
      <c r="K17" s="549"/>
      <c r="L17" s="236" t="s">
        <v>57</v>
      </c>
      <c r="M17" s="61" t="s">
        <v>58</v>
      </c>
      <c r="N17" s="60" t="s">
        <v>20</v>
      </c>
      <c r="O17" s="250">
        <v>1</v>
      </c>
      <c r="P17" s="251">
        <v>2</v>
      </c>
      <c r="Q17" s="252">
        <v>3</v>
      </c>
      <c r="R17" s="251">
        <v>3</v>
      </c>
      <c r="S17" s="251">
        <v>3</v>
      </c>
      <c r="T17" s="252"/>
    </row>
    <row r="18" spans="2:22" ht="14.25" customHeight="1" x14ac:dyDescent="0.15">
      <c r="B18" s="58" t="s">
        <v>59</v>
      </c>
      <c r="C18" s="4" t="s">
        <v>60</v>
      </c>
      <c r="D18" s="65"/>
      <c r="K18" s="549"/>
      <c r="L18" s="236" t="s">
        <v>61</v>
      </c>
      <c r="M18" s="61" t="s">
        <v>62</v>
      </c>
      <c r="N18" s="60" t="s">
        <v>63</v>
      </c>
      <c r="O18" s="23">
        <v>1</v>
      </c>
      <c r="P18" s="102">
        <v>2</v>
      </c>
      <c r="Q18" s="24">
        <v>3</v>
      </c>
      <c r="R18" s="102">
        <v>6</v>
      </c>
      <c r="S18" s="102">
        <v>3</v>
      </c>
      <c r="T18" s="24"/>
    </row>
    <row r="19" spans="2:22" ht="14.25" customHeight="1" x14ac:dyDescent="0.15">
      <c r="B19" s="58"/>
      <c r="C19" s="65"/>
      <c r="D19" s="65"/>
      <c r="K19" s="549"/>
      <c r="L19" s="236" t="s">
        <v>64</v>
      </c>
      <c r="M19" s="61" t="s">
        <v>65</v>
      </c>
      <c r="N19" s="60" t="s">
        <v>66</v>
      </c>
      <c r="O19" s="253">
        <f>(O8/2)^2*PI()</f>
        <v>0.78539816339744828</v>
      </c>
      <c r="P19" s="254">
        <f>(P8/2)^2*PI()</f>
        <v>0.78539816339744828</v>
      </c>
      <c r="Q19" s="255">
        <f>(Q8/2)^2*PI()</f>
        <v>0.78539816339744828</v>
      </c>
      <c r="R19" s="254">
        <f>(R8/2)^2*PI()</f>
        <v>0.78539816339744828</v>
      </c>
      <c r="S19" s="254">
        <f>(S8/2)^2*PI()</f>
        <v>0.78539816339744828</v>
      </c>
      <c r="T19" s="255"/>
    </row>
    <row r="20" spans="2:22" ht="14.25" customHeight="1" x14ac:dyDescent="0.15">
      <c r="B20" s="58" t="s">
        <v>67</v>
      </c>
      <c r="C20" s="4" t="s">
        <v>68</v>
      </c>
      <c r="D20" s="65"/>
      <c r="K20" s="549"/>
      <c r="L20" s="236" t="s">
        <v>69</v>
      </c>
      <c r="M20" s="61" t="s">
        <v>70</v>
      </c>
      <c r="N20" s="60" t="s">
        <v>66</v>
      </c>
      <c r="O20" s="256">
        <f>O16*O17</f>
        <v>1</v>
      </c>
      <c r="P20" s="257">
        <f>P16*P17</f>
        <v>2</v>
      </c>
      <c r="Q20" s="258">
        <f>Q16*Q17</f>
        <v>3</v>
      </c>
      <c r="R20" s="257">
        <f>R16*R17</f>
        <v>6</v>
      </c>
      <c r="S20" s="257">
        <f>S16*S17</f>
        <v>3</v>
      </c>
      <c r="T20" s="258"/>
    </row>
    <row r="21" spans="2:22" ht="14.25" customHeight="1" x14ac:dyDescent="0.15">
      <c r="B21" s="58" t="s">
        <v>71</v>
      </c>
      <c r="C21" s="4" t="s">
        <v>72</v>
      </c>
      <c r="D21" s="65"/>
      <c r="K21" s="549"/>
      <c r="L21" s="236" t="s">
        <v>73</v>
      </c>
      <c r="M21" s="61" t="s">
        <v>74</v>
      </c>
      <c r="N21" s="60" t="s">
        <v>66</v>
      </c>
      <c r="O21" s="258">
        <f>O20</f>
        <v>1</v>
      </c>
      <c r="P21" s="257">
        <f>P20</f>
        <v>2</v>
      </c>
      <c r="Q21" s="258">
        <f>Q20</f>
        <v>3</v>
      </c>
      <c r="R21" s="257">
        <f>R20</f>
        <v>6</v>
      </c>
      <c r="S21" s="257">
        <f>S20</f>
        <v>3</v>
      </c>
      <c r="T21" s="258"/>
    </row>
    <row r="22" spans="2:22" ht="14.25" customHeight="1" x14ac:dyDescent="0.15">
      <c r="B22" s="58" t="s">
        <v>75</v>
      </c>
      <c r="C22" s="4" t="s">
        <v>76</v>
      </c>
      <c r="D22" s="65"/>
      <c r="K22" s="549"/>
      <c r="L22" s="236" t="s">
        <v>77</v>
      </c>
      <c r="M22" s="61" t="s">
        <v>78</v>
      </c>
      <c r="N22" s="60" t="s">
        <v>66</v>
      </c>
      <c r="O22" s="259">
        <f>O19*O18</f>
        <v>0.78539816339744828</v>
      </c>
      <c r="P22" s="260">
        <f>P19*P18</f>
        <v>1.5707963267948966</v>
      </c>
      <c r="Q22" s="261">
        <f>Q19*Q18</f>
        <v>2.3561944901923448</v>
      </c>
      <c r="R22" s="260">
        <f>R19*R18</f>
        <v>4.7123889803846897</v>
      </c>
      <c r="S22" s="260">
        <f>S19*S18</f>
        <v>2.3561944901923448</v>
      </c>
      <c r="T22" s="261"/>
    </row>
    <row r="23" spans="2:22" ht="14.25" customHeight="1" x14ac:dyDescent="0.15">
      <c r="B23" s="58" t="s">
        <v>79</v>
      </c>
      <c r="C23" s="4" t="s">
        <v>80</v>
      </c>
      <c r="D23" s="65"/>
      <c r="K23" s="549"/>
      <c r="L23" s="236" t="s">
        <v>81</v>
      </c>
      <c r="M23" s="61" t="s">
        <v>82</v>
      </c>
      <c r="N23" s="16" t="s">
        <v>46</v>
      </c>
      <c r="O23" s="23">
        <v>6</v>
      </c>
      <c r="P23" s="102">
        <v>6</v>
      </c>
      <c r="Q23" s="24">
        <v>6</v>
      </c>
      <c r="R23" s="102">
        <v>6</v>
      </c>
      <c r="S23" s="102">
        <v>6</v>
      </c>
      <c r="T23" s="24"/>
    </row>
    <row r="24" spans="2:22" ht="14.25" customHeight="1" x14ac:dyDescent="0.15">
      <c r="C24" s="4" t="s">
        <v>83</v>
      </c>
      <c r="D24" s="65"/>
      <c r="E24" s="66">
        <v>3</v>
      </c>
      <c r="K24" s="549"/>
      <c r="L24" s="236" t="s">
        <v>84</v>
      </c>
      <c r="M24" s="61" t="s">
        <v>85</v>
      </c>
      <c r="N24" s="60" t="s">
        <v>20</v>
      </c>
      <c r="O24" s="23">
        <v>10</v>
      </c>
      <c r="P24" s="102">
        <v>10</v>
      </c>
      <c r="Q24" s="102">
        <v>10</v>
      </c>
      <c r="R24" s="102">
        <v>10</v>
      </c>
      <c r="S24" s="102">
        <v>10</v>
      </c>
      <c r="T24" s="24"/>
      <c r="U24" s="58"/>
      <c r="V24" s="58"/>
    </row>
    <row r="25" spans="2:22" ht="14.25" customHeight="1" x14ac:dyDescent="0.15">
      <c r="C25" s="65"/>
      <c r="D25" s="65"/>
      <c r="E25" s="58"/>
      <c r="K25" s="549"/>
      <c r="L25" s="236" t="s">
        <v>86</v>
      </c>
      <c r="M25" s="61" t="s">
        <v>87</v>
      </c>
      <c r="N25" s="16" t="s">
        <v>88</v>
      </c>
      <c r="O25" s="259">
        <f>(O26*$F$55+O27*$F$56)</f>
        <v>0</v>
      </c>
      <c r="P25" s="260">
        <f>(P26*$F$55+P27*$F$56)</f>
        <v>0</v>
      </c>
      <c r="Q25" s="261">
        <f>(Q26*$F$55+Q27*$F$56)</f>
        <v>0</v>
      </c>
      <c r="R25" s="260">
        <f>(R26*$F$55+R27*$F$56)</f>
        <v>0</v>
      </c>
      <c r="S25" s="260">
        <f>(S26*$F$55+S27*$F$56)</f>
        <v>0</v>
      </c>
      <c r="T25" s="261"/>
      <c r="U25" s="64"/>
      <c r="V25" s="64"/>
    </row>
    <row r="26" spans="2:22" ht="14.25" customHeight="1" x14ac:dyDescent="0.15">
      <c r="B26" s="116" t="s">
        <v>89</v>
      </c>
      <c r="C26" s="39" t="s">
        <v>90</v>
      </c>
      <c r="D26" s="39"/>
      <c r="K26" s="549"/>
      <c r="L26" s="556" t="s">
        <v>91</v>
      </c>
      <c r="M26" s="61" t="s">
        <v>92</v>
      </c>
      <c r="N26" s="16" t="s">
        <v>31</v>
      </c>
      <c r="O26" s="259">
        <f>$I$49</f>
        <v>0</v>
      </c>
      <c r="P26" s="260">
        <f>$I$49</f>
        <v>0</v>
      </c>
      <c r="Q26" s="261">
        <f>$I$49</f>
        <v>0</v>
      </c>
      <c r="R26" s="260">
        <f>$I$49</f>
        <v>0</v>
      </c>
      <c r="S26" s="260">
        <f>$I$49</f>
        <v>0</v>
      </c>
      <c r="T26" s="261"/>
      <c r="U26" s="64"/>
      <c r="V26" s="64"/>
    </row>
    <row r="27" spans="2:22" ht="14.25" customHeight="1" x14ac:dyDescent="0.15">
      <c r="B27" s="116" t="s">
        <v>93</v>
      </c>
      <c r="C27" s="116" t="s">
        <v>94</v>
      </c>
      <c r="D27" s="39" t="s">
        <v>95</v>
      </c>
      <c r="K27" s="549"/>
      <c r="L27" s="557"/>
      <c r="M27" s="61" t="s">
        <v>96</v>
      </c>
      <c r="N27" s="16" t="s">
        <v>31</v>
      </c>
      <c r="O27" s="259">
        <f>$I$50</f>
        <v>0</v>
      </c>
      <c r="P27" s="260">
        <f>$I$50</f>
        <v>0</v>
      </c>
      <c r="Q27" s="261">
        <f>$I$50</f>
        <v>0</v>
      </c>
      <c r="R27" s="260">
        <f>$I$50</f>
        <v>0</v>
      </c>
      <c r="S27" s="260">
        <f>$I$50</f>
        <v>0</v>
      </c>
      <c r="T27" s="261"/>
      <c r="U27" s="64"/>
      <c r="V27" s="64"/>
    </row>
    <row r="28" spans="2:22" ht="14.25" customHeight="1" x14ac:dyDescent="0.15">
      <c r="B28" s="116" t="s">
        <v>97</v>
      </c>
      <c r="C28" s="39"/>
      <c r="D28" s="39" t="s">
        <v>98</v>
      </c>
      <c r="K28" s="549"/>
      <c r="L28" s="558" t="s">
        <v>99</v>
      </c>
      <c r="M28" s="61" t="s">
        <v>100</v>
      </c>
      <c r="N28" s="60"/>
      <c r="O28" s="259">
        <f>VLOOKUP(O13,Sheet3!$N$4:$Q$44,2)</f>
        <v>32.671126278359431</v>
      </c>
      <c r="P28" s="260">
        <f>VLOOKUP(P13,Sheet3!$N$4:$Q$44,2)</f>
        <v>35.490260706898347</v>
      </c>
      <c r="Q28" s="261">
        <f>VLOOKUP(Q13,Sheet3!$N$4:$Q$44,2)</f>
        <v>35.490260706898347</v>
      </c>
      <c r="R28" s="260">
        <f>VLOOKUP(R13,Sheet3!$N$4:$Q$44,2)</f>
        <v>35.490260706898347</v>
      </c>
      <c r="S28" s="260">
        <f>VLOOKUP(S13,Sheet3!$N$4:$Q$44,2)</f>
        <v>35.490260706898347</v>
      </c>
      <c r="T28" s="261"/>
      <c r="U28" s="64"/>
      <c r="V28" s="64"/>
    </row>
    <row r="29" spans="2:22" ht="14.25" customHeight="1" x14ac:dyDescent="0.15">
      <c r="K29" s="549"/>
      <c r="L29" s="559"/>
      <c r="M29" s="61" t="s">
        <v>101</v>
      </c>
      <c r="N29" s="60"/>
      <c r="O29" s="259">
        <f>VLOOKUP(O13,Sheet3!$N$4:$Q$44,3)</f>
        <v>18.563918267831117</v>
      </c>
      <c r="P29" s="260">
        <f>VLOOKUP(P13,Sheet3!$N$4:$Q$44,3)</f>
        <v>22.022491032313749</v>
      </c>
      <c r="Q29" s="261">
        <f>VLOOKUP(Q13,Sheet3!$N$4:$Q$44,3)</f>
        <v>22.022491032313749</v>
      </c>
      <c r="R29" s="260">
        <f>VLOOKUP(R13,Sheet3!$N$4:$Q$44,3)</f>
        <v>22.022491032313749</v>
      </c>
      <c r="S29" s="260">
        <f>VLOOKUP(S13,Sheet3!$N$4:$Q$44,3)</f>
        <v>22.022491032313749</v>
      </c>
      <c r="T29" s="261"/>
      <c r="U29" s="64"/>
      <c r="V29" s="64"/>
    </row>
    <row r="30" spans="2:22" ht="14.25" customHeight="1" x14ac:dyDescent="0.15">
      <c r="B30" s="58" t="s">
        <v>42</v>
      </c>
      <c r="C30" s="4" t="s">
        <v>102</v>
      </c>
      <c r="D30" s="65"/>
      <c r="K30" s="545"/>
      <c r="L30" s="560"/>
      <c r="M30" s="62" t="s">
        <v>103</v>
      </c>
      <c r="N30" s="63"/>
      <c r="O30" s="262">
        <f>VLOOKUP(O13,Sheet3!$N$4:$Q$44,4)</f>
        <v>20.630793159942641</v>
      </c>
      <c r="P30" s="263">
        <f>VLOOKUP(P13,Sheet3!$N$4:$Q$44,4)</f>
        <v>23.17677620701264</v>
      </c>
      <c r="Q30" s="264">
        <f>VLOOKUP(Q13,Sheet3!$N$4:$Q$44,4)</f>
        <v>23.17677620701264</v>
      </c>
      <c r="R30" s="263">
        <f>VLOOKUP(R13,Sheet3!$N$4:$Q$44,4)</f>
        <v>23.17677620701264</v>
      </c>
      <c r="S30" s="263">
        <f>VLOOKUP(S13,Sheet3!$N$4:$Q$44,4)</f>
        <v>23.17677620701264</v>
      </c>
      <c r="T30" s="264"/>
      <c r="U30" s="58"/>
      <c r="V30" s="58"/>
    </row>
    <row r="31" spans="2:22" ht="14.25" customHeight="1" x14ac:dyDescent="0.15">
      <c r="B31" s="58" t="s">
        <v>104</v>
      </c>
      <c r="C31" s="4" t="s">
        <v>105</v>
      </c>
      <c r="D31" s="65"/>
      <c r="K31" s="544" t="s">
        <v>106</v>
      </c>
      <c r="L31" s="561" t="s">
        <v>107</v>
      </c>
      <c r="M31" s="69" t="s">
        <v>108</v>
      </c>
      <c r="N31" s="15"/>
      <c r="O31" s="265">
        <f>1+0.2*O16/O17</f>
        <v>1.2</v>
      </c>
      <c r="P31" s="266">
        <f>1+0.2*P16/P17</f>
        <v>1.1000000000000001</v>
      </c>
      <c r="Q31" s="267">
        <f>1+0.2*Q16/Q17</f>
        <v>1.0666666666666667</v>
      </c>
      <c r="R31" s="266">
        <f>1+0.2*R16/R17</f>
        <v>1.1333333333333333</v>
      </c>
      <c r="S31" s="266">
        <f>1+0.2*S16/S17</f>
        <v>1.0666666666666667</v>
      </c>
      <c r="T31" s="267"/>
      <c r="U31" s="64"/>
      <c r="V31" s="64"/>
    </row>
    <row r="32" spans="2:22" ht="14.25" customHeight="1" x14ac:dyDescent="0.15">
      <c r="B32" s="58" t="s">
        <v>109</v>
      </c>
      <c r="C32" s="4" t="s">
        <v>110</v>
      </c>
      <c r="D32" s="65"/>
      <c r="K32" s="549"/>
      <c r="L32" s="557"/>
      <c r="M32" s="61" t="s">
        <v>111</v>
      </c>
      <c r="N32" s="16"/>
      <c r="O32" s="259">
        <f>0.5-0.2*O16/O17</f>
        <v>0.3</v>
      </c>
      <c r="P32" s="260">
        <f>0.5-0.2*P16/P17</f>
        <v>0.4</v>
      </c>
      <c r="Q32" s="261">
        <f>0.5-0.2*Q16/Q17</f>
        <v>0.43333333333333335</v>
      </c>
      <c r="R32" s="260">
        <f>0.5-0.2*R16/R17</f>
        <v>0.3666666666666667</v>
      </c>
      <c r="S32" s="260">
        <f>0.5-0.2*S16/S17</f>
        <v>0.43333333333333335</v>
      </c>
      <c r="T32" s="261"/>
      <c r="U32" s="64"/>
      <c r="V32" s="64"/>
    </row>
    <row r="33" spans="2:22" ht="14.25" customHeight="1" x14ac:dyDescent="0.15">
      <c r="B33" s="58" t="s">
        <v>112</v>
      </c>
      <c r="C33" s="4" t="s">
        <v>113</v>
      </c>
      <c r="D33" s="65"/>
      <c r="K33" s="549"/>
      <c r="L33" s="236" t="s">
        <v>114</v>
      </c>
      <c r="M33" s="61" t="s">
        <v>54</v>
      </c>
      <c r="N33" s="60" t="s">
        <v>20</v>
      </c>
      <c r="O33" s="256">
        <f>O16</f>
        <v>1</v>
      </c>
      <c r="P33" s="257">
        <f>P16</f>
        <v>1</v>
      </c>
      <c r="Q33" s="258">
        <f>Q16</f>
        <v>1</v>
      </c>
      <c r="R33" s="257">
        <f>R16</f>
        <v>2</v>
      </c>
      <c r="S33" s="257">
        <f>S16</f>
        <v>1</v>
      </c>
      <c r="T33" s="258"/>
      <c r="U33" s="64"/>
      <c r="V33" s="64"/>
    </row>
    <row r="34" spans="2:22" ht="14.25" customHeight="1" x14ac:dyDescent="0.15">
      <c r="B34" s="58" t="s">
        <v>115</v>
      </c>
      <c r="C34" s="4" t="s">
        <v>116</v>
      </c>
      <c r="D34" s="65"/>
      <c r="K34" s="549"/>
      <c r="L34" s="236" t="s">
        <v>117</v>
      </c>
      <c r="M34" s="61" t="s">
        <v>118</v>
      </c>
      <c r="N34" s="16"/>
      <c r="O34" s="26">
        <v>1</v>
      </c>
      <c r="P34" s="104">
        <v>1</v>
      </c>
      <c r="Q34" s="25">
        <v>1</v>
      </c>
      <c r="R34" s="104">
        <v>1</v>
      </c>
      <c r="S34" s="104">
        <v>1</v>
      </c>
      <c r="T34" s="25"/>
      <c r="U34" s="58"/>
      <c r="V34" s="58"/>
    </row>
    <row r="35" spans="2:22" ht="14.25" customHeight="1" x14ac:dyDescent="0.15">
      <c r="B35" s="58" t="s">
        <v>119</v>
      </c>
      <c r="C35" s="4" t="s">
        <v>120</v>
      </c>
      <c r="D35" s="65"/>
      <c r="K35" s="549"/>
      <c r="L35" s="236" t="s">
        <v>121</v>
      </c>
      <c r="M35" s="61" t="s">
        <v>122</v>
      </c>
      <c r="N35" s="16" t="s">
        <v>31</v>
      </c>
      <c r="O35" s="268">
        <f>O34*O31*O12*O28+O34*O32*O14*O16*O29+O34*O23*O24*O30</f>
        <v>1271.2626424786545</v>
      </c>
      <c r="P35" s="269">
        <f>P34*P31*P12*P28+P34*P32*P14*P16*P29+P34*P23*P24*P30</f>
        <v>1443.4605508983113</v>
      </c>
      <c r="Q35" s="270">
        <f>Q34*Q31*Q12*Q28+Q34*Q32*Q14*Q16*Q29+Q34*Q23*Q24*Q30</f>
        <v>1447.865049104774</v>
      </c>
      <c r="R35" s="269">
        <f>R34*R31*R12*R28+R34*R32*R14*R16*R29+R34*R23*R24*R30</f>
        <v>1487.5055329629388</v>
      </c>
      <c r="S35" s="269">
        <f>S34*S31*S12*S28+S34*S32*S14*S16*S29+S34*S23*S24*S30</f>
        <v>1447.865049104774</v>
      </c>
      <c r="T35" s="270"/>
      <c r="U35" s="64"/>
      <c r="V35" s="64"/>
    </row>
    <row r="36" spans="2:22" ht="14.25" customHeight="1" x14ac:dyDescent="0.15">
      <c r="B36" s="58" t="s">
        <v>123</v>
      </c>
      <c r="C36" s="4" t="s">
        <v>124</v>
      </c>
      <c r="D36" s="65"/>
      <c r="K36" s="549"/>
      <c r="L36" s="236" t="s">
        <v>86</v>
      </c>
      <c r="M36" s="55" t="s">
        <v>125</v>
      </c>
      <c r="N36" s="16" t="s">
        <v>126</v>
      </c>
      <c r="O36" s="271">
        <f>O25*((O16+O17)*2-O8*4+O8*3.14)</f>
        <v>0</v>
      </c>
      <c r="P36" s="272">
        <f>P25*((P16+P17)*2-P8*4+P8*3.14)</f>
        <v>0</v>
      </c>
      <c r="Q36" s="273">
        <f>Q25*((Q16+Q17)*2-Q8*4+Q8*3.14)</f>
        <v>0</v>
      </c>
      <c r="R36" s="272">
        <f>R25*((R16+R17)*2-R8*4+R8*3.14)</f>
        <v>0</v>
      </c>
      <c r="S36" s="272">
        <f>S25*((S16+S17)*2-S8*4+S8*3.14)</f>
        <v>0</v>
      </c>
      <c r="T36" s="273"/>
      <c r="U36" s="64"/>
      <c r="V36" s="64"/>
    </row>
    <row r="37" spans="2:22" ht="14.25" customHeight="1" x14ac:dyDescent="0.15">
      <c r="B37" s="67" t="s">
        <v>127</v>
      </c>
      <c r="C37" s="4" t="s">
        <v>128</v>
      </c>
      <c r="D37" s="65"/>
      <c r="K37" s="545"/>
      <c r="L37" s="17" t="s">
        <v>129</v>
      </c>
      <c r="M37" s="62" t="s">
        <v>130</v>
      </c>
      <c r="N37" s="18" t="s">
        <v>31</v>
      </c>
      <c r="O37" s="274">
        <f>1/3*(O35*O21+O36)/O20</f>
        <v>423.75421415955145</v>
      </c>
      <c r="P37" s="275">
        <f>1/3*(P35*P21+P36)/P20</f>
        <v>481.15351696610378</v>
      </c>
      <c r="Q37" s="276">
        <f>1/3*(Q35*Q21+Q36)/Q20</f>
        <v>482.62168303492467</v>
      </c>
      <c r="R37" s="275">
        <f>1/3*(R35*R21+R36)/R20</f>
        <v>495.83517765431293</v>
      </c>
      <c r="S37" s="275">
        <f>1/3*(S35*S21+S36)/S20</f>
        <v>482.62168303492467</v>
      </c>
      <c r="T37" s="276"/>
      <c r="U37" s="277"/>
      <c r="V37" s="277"/>
    </row>
    <row r="38" spans="2:22" ht="14.25" customHeight="1" x14ac:dyDescent="0.15">
      <c r="B38" s="58" t="s">
        <v>131</v>
      </c>
      <c r="C38" s="4" t="s">
        <v>132</v>
      </c>
      <c r="D38" s="65"/>
      <c r="K38" s="544" t="s">
        <v>133</v>
      </c>
      <c r="L38" s="237" t="s">
        <v>134</v>
      </c>
      <c r="M38" s="69" t="s">
        <v>135</v>
      </c>
      <c r="N38" s="15" t="s">
        <v>126</v>
      </c>
      <c r="O38" s="278">
        <f>75*O15*O19</f>
        <v>824.66807156732068</v>
      </c>
      <c r="P38" s="279">
        <f>75*P15*P19</f>
        <v>883.57293382212936</v>
      </c>
      <c r="Q38" s="280">
        <f>75*Q15*Q19</f>
        <v>883.57293382212936</v>
      </c>
      <c r="R38" s="279">
        <f>75*R15*R19</f>
        <v>883.57293382212936</v>
      </c>
      <c r="S38" s="279">
        <f>75*S15*S19</f>
        <v>883.57293382212936</v>
      </c>
      <c r="T38" s="280"/>
      <c r="U38" s="64"/>
      <c r="V38" s="64"/>
    </row>
    <row r="39" spans="2:22" ht="14.25" customHeight="1" x14ac:dyDescent="0.15">
      <c r="B39" s="58" t="s">
        <v>136</v>
      </c>
      <c r="C39" s="4" t="s">
        <v>137</v>
      </c>
      <c r="D39" s="65"/>
      <c r="K39" s="549"/>
      <c r="L39" s="236" t="s">
        <v>86</v>
      </c>
      <c r="M39" s="55" t="s">
        <v>138</v>
      </c>
      <c r="N39" s="56" t="s">
        <v>126</v>
      </c>
      <c r="O39" s="281">
        <f>O25*O8*3.14</f>
        <v>0</v>
      </c>
      <c r="P39" s="282">
        <f>P25*P8*3.14</f>
        <v>0</v>
      </c>
      <c r="Q39" s="283">
        <f>Q25*Q8*3.14</f>
        <v>0</v>
      </c>
      <c r="R39" s="282">
        <f>R25*R8*3.14</f>
        <v>0</v>
      </c>
      <c r="S39" s="282">
        <f>S25*S8*3.14</f>
        <v>0</v>
      </c>
      <c r="T39" s="283"/>
      <c r="U39" s="284"/>
      <c r="V39" s="284"/>
    </row>
    <row r="40" spans="2:22" ht="14.25" customHeight="1" x14ac:dyDescent="0.15">
      <c r="B40" s="58"/>
      <c r="C40" s="4" t="s">
        <v>139</v>
      </c>
      <c r="D40" s="65"/>
      <c r="K40" s="549"/>
      <c r="L40" s="236" t="s">
        <v>140</v>
      </c>
      <c r="M40" s="61" t="s">
        <v>141</v>
      </c>
      <c r="N40" s="16" t="s">
        <v>126</v>
      </c>
      <c r="O40" s="246">
        <f>O38+O39</f>
        <v>824.66807156732068</v>
      </c>
      <c r="P40" s="247">
        <f>P38+P39</f>
        <v>883.57293382212936</v>
      </c>
      <c r="Q40" s="249">
        <f>Q38+Q39</f>
        <v>883.57293382212936</v>
      </c>
      <c r="R40" s="247">
        <f>R38+R39</f>
        <v>883.57293382212936</v>
      </c>
      <c r="S40" s="247">
        <f>S38+S39</f>
        <v>883.57293382212936</v>
      </c>
      <c r="T40" s="249"/>
      <c r="U40" s="58"/>
      <c r="V40" s="58"/>
    </row>
    <row r="41" spans="2:22" ht="14.25" customHeight="1" x14ac:dyDescent="0.15">
      <c r="B41" s="58" t="s">
        <v>142</v>
      </c>
      <c r="C41" s="4" t="s">
        <v>143</v>
      </c>
      <c r="D41" s="65"/>
      <c r="K41" s="545"/>
      <c r="L41" s="17" t="s">
        <v>129</v>
      </c>
      <c r="M41" s="62" t="s">
        <v>144</v>
      </c>
      <c r="N41" s="18" t="s">
        <v>31</v>
      </c>
      <c r="O41" s="285">
        <f>1/3*O21*O40/O20</f>
        <v>274.88935718910687</v>
      </c>
      <c r="P41" s="286">
        <f>1/3*P21*P40/P20</f>
        <v>294.5243112740431</v>
      </c>
      <c r="Q41" s="287">
        <f>1/3*Q21*Q40/Q20</f>
        <v>294.5243112740431</v>
      </c>
      <c r="R41" s="286">
        <f>1/3*R21*R40/R20</f>
        <v>294.5243112740431</v>
      </c>
      <c r="S41" s="286">
        <f>1/3*S21*S40/S20</f>
        <v>294.5243112740431</v>
      </c>
      <c r="T41" s="287"/>
    </row>
    <row r="42" spans="2:22" ht="14.25" customHeight="1" x14ac:dyDescent="0.15">
      <c r="B42" s="67" t="s">
        <v>145</v>
      </c>
      <c r="C42" s="4" t="s">
        <v>146</v>
      </c>
      <c r="D42" s="65"/>
      <c r="K42" s="544" t="s">
        <v>147</v>
      </c>
      <c r="L42" s="237" t="s">
        <v>129</v>
      </c>
      <c r="M42" s="69" t="s">
        <v>148</v>
      </c>
      <c r="N42" s="15" t="s">
        <v>31</v>
      </c>
      <c r="O42" s="288">
        <f>MIN(O37,O41)</f>
        <v>274.88935718910687</v>
      </c>
      <c r="P42" s="289">
        <f>MIN(P37,P41)</f>
        <v>294.5243112740431</v>
      </c>
      <c r="Q42" s="290">
        <f>MIN(Q37,Q41)</f>
        <v>294.5243112740431</v>
      </c>
      <c r="R42" s="289">
        <f>MIN(R37,R41)</f>
        <v>294.5243112740431</v>
      </c>
      <c r="S42" s="289">
        <f>MIN(S37,S41)</f>
        <v>294.5243112740431</v>
      </c>
      <c r="T42" s="290"/>
    </row>
    <row r="43" spans="2:22" ht="14.25" customHeight="1" x14ac:dyDescent="0.15">
      <c r="B43" s="58"/>
      <c r="C43" s="68" t="s">
        <v>93</v>
      </c>
      <c r="D43" s="68" t="s">
        <v>94</v>
      </c>
      <c r="E43" s="58" t="s">
        <v>97</v>
      </c>
      <c r="F43" s="2" t="s">
        <v>149</v>
      </c>
      <c r="G43" s="58">
        <v>1</v>
      </c>
      <c r="K43" s="545"/>
      <c r="L43" s="17" t="s">
        <v>150</v>
      </c>
      <c r="M43" s="62" t="s">
        <v>151</v>
      </c>
      <c r="N43" s="18" t="s">
        <v>31</v>
      </c>
      <c r="O43" s="291">
        <v>250</v>
      </c>
      <c r="P43" s="292">
        <v>250</v>
      </c>
      <c r="Q43" s="293">
        <v>180</v>
      </c>
      <c r="R43" s="292">
        <v>180</v>
      </c>
      <c r="S43" s="292">
        <v>180</v>
      </c>
      <c r="T43" s="293"/>
    </row>
    <row r="44" spans="2:22" ht="14.25" customHeight="1" x14ac:dyDescent="0.15">
      <c r="B44" s="58"/>
      <c r="C44" s="4" t="s">
        <v>152</v>
      </c>
      <c r="D44" s="65"/>
      <c r="K44" s="546" t="s">
        <v>153</v>
      </c>
      <c r="L44" s="547"/>
      <c r="M44" s="547"/>
      <c r="N44" s="548"/>
      <c r="O44" s="294">
        <f>O43/O42</f>
        <v>0.90945681766797348</v>
      </c>
      <c r="P44" s="295">
        <f>P43/P42</f>
        <v>0.84882636315677518</v>
      </c>
      <c r="Q44" s="296">
        <f>Q43/Q42</f>
        <v>0.61115498147287817</v>
      </c>
      <c r="R44" s="295">
        <f>R43/R42</f>
        <v>0.61115498147287817</v>
      </c>
      <c r="S44" s="295">
        <f>S43/S42</f>
        <v>0.61115498147287817</v>
      </c>
      <c r="T44" s="296"/>
    </row>
    <row r="45" spans="2:22" ht="14.25" customHeight="1" x14ac:dyDescent="0.15">
      <c r="C45" s="1" t="s">
        <v>154</v>
      </c>
      <c r="D45" s="65"/>
      <c r="K45" s="544" t="s">
        <v>155</v>
      </c>
      <c r="L45" s="19" t="s">
        <v>80</v>
      </c>
      <c r="M45" s="69" t="s">
        <v>156</v>
      </c>
      <c r="N45" s="59"/>
      <c r="O45" s="20">
        <f>$E$24</f>
        <v>3</v>
      </c>
      <c r="P45" s="105">
        <f>$E$24</f>
        <v>3</v>
      </c>
      <c r="Q45" s="157">
        <f>$E$24</f>
        <v>3</v>
      </c>
      <c r="R45" s="105">
        <f>$E$24</f>
        <v>3</v>
      </c>
      <c r="S45" s="105">
        <f>$E$24</f>
        <v>3</v>
      </c>
      <c r="T45" s="157"/>
    </row>
    <row r="46" spans="2:22" ht="14.25" customHeight="1" x14ac:dyDescent="0.15">
      <c r="C46" s="4" t="s">
        <v>157</v>
      </c>
      <c r="K46" s="549"/>
      <c r="L46" s="13" t="s">
        <v>158</v>
      </c>
      <c r="M46" s="61" t="s">
        <v>159</v>
      </c>
      <c r="N46" s="16" t="s">
        <v>31</v>
      </c>
      <c r="O46" s="246">
        <f>O11/O45</f>
        <v>366.66666666666669</v>
      </c>
      <c r="P46" s="247">
        <f>P11/P45</f>
        <v>266.66666666666669</v>
      </c>
      <c r="Q46" s="249">
        <f>Q11/Q45</f>
        <v>266.66666666666669</v>
      </c>
      <c r="R46" s="247">
        <f>R11/R45</f>
        <v>266.66666666666669</v>
      </c>
      <c r="S46" s="247">
        <f>S11/S45</f>
        <v>266.66666666666669</v>
      </c>
      <c r="T46" s="249"/>
    </row>
    <row r="47" spans="2:22" ht="14.25" customHeight="1" x14ac:dyDescent="0.15">
      <c r="K47" s="549"/>
      <c r="L47" s="236" t="s">
        <v>160</v>
      </c>
      <c r="M47" s="61" t="s">
        <v>161</v>
      </c>
      <c r="N47" s="60"/>
      <c r="O47" s="253">
        <f>O22/O20</f>
        <v>0.78539816339744828</v>
      </c>
      <c r="P47" s="254">
        <f>P22/P20</f>
        <v>0.78539816339744828</v>
      </c>
      <c r="Q47" s="255">
        <f>Q22/Q20</f>
        <v>0.78539816339744828</v>
      </c>
      <c r="R47" s="254">
        <f>R22/R20</f>
        <v>0.78539816339744828</v>
      </c>
      <c r="S47" s="254">
        <f>S22/S20</f>
        <v>0.78539816339744828</v>
      </c>
      <c r="T47" s="255"/>
    </row>
    <row r="48" spans="2:22" ht="14.25" customHeight="1" x14ac:dyDescent="0.15">
      <c r="B48" s="58" t="s">
        <v>51</v>
      </c>
      <c r="C48" s="4" t="s">
        <v>162</v>
      </c>
      <c r="K48" s="549"/>
      <c r="L48" s="236" t="s">
        <v>163</v>
      </c>
      <c r="M48" s="61" t="s">
        <v>164</v>
      </c>
      <c r="N48" s="60"/>
      <c r="O48" s="259">
        <f>1/O47</f>
        <v>1.2732395447351628</v>
      </c>
      <c r="P48" s="260">
        <f>1/P47</f>
        <v>1.2732395447351628</v>
      </c>
      <c r="Q48" s="261">
        <f>1/Q47</f>
        <v>1.2732395447351628</v>
      </c>
      <c r="R48" s="260">
        <f>1/R47</f>
        <v>1.2732395447351628</v>
      </c>
      <c r="S48" s="260">
        <f>1/S47</f>
        <v>1.2732395447351628</v>
      </c>
      <c r="T48" s="261"/>
    </row>
    <row r="49" spans="1:20" ht="14.25" customHeight="1" x14ac:dyDescent="0.15">
      <c r="B49" s="58"/>
      <c r="C49" s="79" t="s">
        <v>165</v>
      </c>
      <c r="D49" s="80"/>
      <c r="E49" s="81" t="s">
        <v>166</v>
      </c>
      <c r="F49" s="80" t="s">
        <v>167</v>
      </c>
      <c r="G49" s="82" t="s">
        <v>168</v>
      </c>
      <c r="H49" s="83" t="s">
        <v>169</v>
      </c>
      <c r="I49" s="77">
        <f>6.25*F53</f>
        <v>0</v>
      </c>
      <c r="K49" s="545"/>
      <c r="L49" s="14" t="s">
        <v>170</v>
      </c>
      <c r="M49" s="62" t="s">
        <v>171</v>
      </c>
      <c r="N49" s="18" t="s">
        <v>31</v>
      </c>
      <c r="O49" s="285">
        <f>O48*O43</f>
        <v>318.3098861837907</v>
      </c>
      <c r="P49" s="286">
        <f>P48*P43</f>
        <v>318.3098861837907</v>
      </c>
      <c r="Q49" s="287">
        <f>Q48*Q43</f>
        <v>229.18311805232929</v>
      </c>
      <c r="R49" s="286">
        <f>R48*R43</f>
        <v>229.18311805232929</v>
      </c>
      <c r="S49" s="286">
        <f>S48*S43</f>
        <v>229.18311805232929</v>
      </c>
      <c r="T49" s="287"/>
    </row>
    <row r="50" spans="1:20" ht="14.25" customHeight="1" x14ac:dyDescent="0.15">
      <c r="B50" s="58"/>
      <c r="C50" s="84" t="s">
        <v>172</v>
      </c>
      <c r="D50" s="78"/>
      <c r="E50" s="85" t="s">
        <v>166</v>
      </c>
      <c r="F50" s="78" t="s">
        <v>173</v>
      </c>
      <c r="G50" s="78"/>
      <c r="H50" s="86"/>
      <c r="I50" s="297">
        <f>10*F54/3</f>
        <v>0</v>
      </c>
      <c r="K50" s="546" t="s">
        <v>174</v>
      </c>
      <c r="L50" s="547"/>
      <c r="M50" s="547"/>
      <c r="N50" s="548"/>
      <c r="O50" s="294">
        <f>O49/O46</f>
        <v>0.86811787141033825</v>
      </c>
      <c r="P50" s="295">
        <f>P49/P46</f>
        <v>1.1936620731892149</v>
      </c>
      <c r="Q50" s="296">
        <f>Q49/Q46</f>
        <v>0.85943669269623479</v>
      </c>
      <c r="R50" s="295">
        <f>R49/R46</f>
        <v>0.85943669269623479</v>
      </c>
      <c r="S50" s="295">
        <f>S49/S46</f>
        <v>0.85943669269623479</v>
      </c>
      <c r="T50" s="296"/>
    </row>
    <row r="51" spans="1:20" ht="14.25" customHeight="1" x14ac:dyDescent="0.15">
      <c r="B51" s="58" t="s">
        <v>123</v>
      </c>
      <c r="C51" s="4" t="s">
        <v>175</v>
      </c>
      <c r="E51" s="67" t="s">
        <v>176</v>
      </c>
      <c r="F51" s="71" t="s">
        <v>169</v>
      </c>
      <c r="L51" s="71"/>
      <c r="M51" s="58"/>
      <c r="N51" s="71"/>
    </row>
    <row r="52" spans="1:20" ht="14.25" customHeight="1" x14ac:dyDescent="0.15">
      <c r="B52" s="58" t="s">
        <v>177</v>
      </c>
      <c r="C52" s="4" t="s">
        <v>178</v>
      </c>
      <c r="E52" s="67" t="s">
        <v>179</v>
      </c>
      <c r="F52" s="71" t="s">
        <v>180</v>
      </c>
      <c r="L52" s="89"/>
      <c r="M52" s="58"/>
      <c r="O52" s="58"/>
      <c r="P52" s="58"/>
      <c r="Q52" s="58"/>
      <c r="R52" s="58"/>
      <c r="S52" s="58"/>
      <c r="T52" s="58"/>
    </row>
    <row r="53" spans="1:20" ht="14.25" customHeight="1" x14ac:dyDescent="0.15">
      <c r="B53" s="58" t="s">
        <v>181</v>
      </c>
      <c r="C53" s="4" t="s">
        <v>182</v>
      </c>
      <c r="E53" s="1" t="s">
        <v>183</v>
      </c>
      <c r="F53" s="70">
        <v>0</v>
      </c>
      <c r="L53" s="89"/>
      <c r="M53" s="88"/>
      <c r="O53" s="64"/>
      <c r="P53" s="64"/>
      <c r="Q53" s="64"/>
      <c r="R53" s="64"/>
      <c r="S53" s="64"/>
      <c r="T53" s="64"/>
    </row>
    <row r="54" spans="1:20" ht="14.25" customHeight="1" x14ac:dyDescent="0.15">
      <c r="B54" s="58" t="s">
        <v>184</v>
      </c>
      <c r="C54" s="4" t="s">
        <v>185</v>
      </c>
      <c r="E54" s="1" t="s">
        <v>183</v>
      </c>
      <c r="F54" s="298">
        <v>0</v>
      </c>
      <c r="L54" s="91"/>
      <c r="M54" s="90"/>
      <c r="O54" s="64"/>
      <c r="P54" s="64"/>
      <c r="Q54" s="64"/>
      <c r="R54" s="64"/>
      <c r="S54" s="64"/>
      <c r="T54" s="64"/>
    </row>
    <row r="55" spans="1:20" ht="14.25" customHeight="1" x14ac:dyDescent="0.15">
      <c r="B55" s="58" t="s">
        <v>55</v>
      </c>
      <c r="C55" s="4" t="s">
        <v>56</v>
      </c>
      <c r="E55" s="3" t="s">
        <v>186</v>
      </c>
      <c r="F55" s="70">
        <v>0</v>
      </c>
      <c r="G55" s="71" t="s">
        <v>187</v>
      </c>
      <c r="L55" s="58"/>
      <c r="M55" s="58"/>
      <c r="N55" s="72"/>
      <c r="O55" s="299"/>
      <c r="P55" s="299"/>
      <c r="Q55" s="299"/>
      <c r="R55" s="299"/>
      <c r="S55" s="299"/>
      <c r="T55" s="299"/>
    </row>
    <row r="56" spans="1:20" ht="14.25" customHeight="1" x14ac:dyDescent="0.15">
      <c r="B56" s="58"/>
      <c r="C56" s="65"/>
      <c r="E56" s="3" t="s">
        <v>188</v>
      </c>
      <c r="F56" s="70">
        <v>0</v>
      </c>
      <c r="G56" s="71" t="s">
        <v>187</v>
      </c>
      <c r="L56" s="58"/>
      <c r="M56" s="58"/>
      <c r="N56" s="72"/>
      <c r="O56" s="299"/>
      <c r="P56" s="299"/>
      <c r="Q56" s="299"/>
      <c r="R56" s="299"/>
      <c r="S56" s="299"/>
      <c r="T56" s="299"/>
    </row>
    <row r="57" spans="1:20" ht="14.25" customHeight="1" x14ac:dyDescent="0.15">
      <c r="L57" s="58"/>
      <c r="M57" s="58"/>
      <c r="N57" s="72"/>
      <c r="O57" s="299"/>
      <c r="P57" s="299"/>
      <c r="Q57" s="299"/>
      <c r="R57" s="299"/>
      <c r="S57" s="299"/>
      <c r="T57" s="299"/>
    </row>
    <row r="58" spans="1:20" ht="14.25" customHeight="1" x14ac:dyDescent="0.15">
      <c r="A58" s="87" t="s">
        <v>189</v>
      </c>
      <c r="L58" s="58"/>
      <c r="M58" s="58"/>
      <c r="N58" s="72"/>
      <c r="O58" s="299"/>
      <c r="P58" s="299"/>
      <c r="Q58" s="299"/>
      <c r="R58" s="299"/>
      <c r="S58" s="299"/>
      <c r="T58" s="299"/>
    </row>
    <row r="59" spans="1:20" ht="14.25" customHeight="1" x14ac:dyDescent="0.15">
      <c r="A59" s="116" t="s">
        <v>190</v>
      </c>
      <c r="B59" s="39" t="s">
        <v>191</v>
      </c>
      <c r="L59" s="58"/>
      <c r="M59" s="58"/>
      <c r="N59" s="72"/>
      <c r="O59" s="300"/>
      <c r="P59" s="300"/>
      <c r="Q59" s="300"/>
      <c r="R59" s="300"/>
      <c r="S59" s="300"/>
      <c r="T59" s="300"/>
    </row>
    <row r="60" spans="1:20" ht="14.25" customHeight="1" x14ac:dyDescent="0.15">
      <c r="B60" s="116" t="s">
        <v>192</v>
      </c>
      <c r="C60" s="29" t="s">
        <v>193</v>
      </c>
      <c r="L60" s="73"/>
      <c r="M60" s="58"/>
      <c r="N60" s="72"/>
      <c r="O60" s="300"/>
      <c r="P60" s="300"/>
      <c r="Q60" s="300"/>
      <c r="R60" s="300"/>
      <c r="S60" s="300"/>
      <c r="T60" s="300"/>
    </row>
    <row r="61" spans="1:20" ht="14.25" customHeight="1" x14ac:dyDescent="0.15">
      <c r="C61" s="65"/>
      <c r="L61" s="58"/>
      <c r="M61" s="58"/>
      <c r="N61" s="71"/>
      <c r="O61" s="58"/>
      <c r="P61" s="58"/>
      <c r="Q61" s="58"/>
      <c r="R61" s="58"/>
      <c r="S61" s="58"/>
      <c r="T61" s="58"/>
    </row>
    <row r="62" spans="1:20" ht="14.25" customHeight="1" x14ac:dyDescent="0.15">
      <c r="B62" s="58" t="s">
        <v>67</v>
      </c>
      <c r="C62" s="4" t="s">
        <v>194</v>
      </c>
      <c r="N62" s="72"/>
      <c r="O62" s="284"/>
      <c r="P62" s="284"/>
      <c r="Q62" s="284"/>
      <c r="R62" s="284"/>
      <c r="S62" s="284"/>
      <c r="T62" s="284"/>
    </row>
    <row r="63" spans="1:20" ht="14.25" customHeight="1" x14ac:dyDescent="0.15">
      <c r="B63" s="58" t="s">
        <v>195</v>
      </c>
      <c r="C63" s="4" t="s">
        <v>196</v>
      </c>
      <c r="L63" s="58"/>
      <c r="M63" s="58"/>
      <c r="N63" s="71"/>
      <c r="O63" s="58"/>
      <c r="P63" s="58"/>
      <c r="Q63" s="58"/>
      <c r="R63" s="58"/>
      <c r="S63" s="58"/>
      <c r="T63" s="58"/>
    </row>
    <row r="64" spans="1:20" ht="14.25" customHeight="1" x14ac:dyDescent="0.15">
      <c r="B64" s="58" t="s">
        <v>197</v>
      </c>
      <c r="C64" s="4" t="s">
        <v>198</v>
      </c>
      <c r="L64" s="71"/>
      <c r="M64" s="116"/>
      <c r="N64" s="71"/>
    </row>
    <row r="65" spans="2:20" ht="14.25" customHeight="1" x14ac:dyDescent="0.15">
      <c r="B65" s="58" t="s">
        <v>51</v>
      </c>
      <c r="C65" s="4" t="s">
        <v>162</v>
      </c>
      <c r="L65" s="71"/>
      <c r="M65" s="116"/>
      <c r="N65" s="71"/>
    </row>
    <row r="66" spans="2:20" ht="14.25" customHeight="1" x14ac:dyDescent="0.15">
      <c r="B66" s="58" t="s">
        <v>55</v>
      </c>
      <c r="C66" s="4" t="s">
        <v>56</v>
      </c>
      <c r="D66" s="76"/>
      <c r="L66" s="58"/>
      <c r="M66" s="116"/>
      <c r="N66" s="64"/>
    </row>
    <row r="67" spans="2:20" ht="14.25" customHeight="1" x14ac:dyDescent="0.15">
      <c r="B67" s="58"/>
      <c r="C67" s="65"/>
      <c r="E67" s="65"/>
      <c r="L67" s="58"/>
      <c r="M67" s="116"/>
      <c r="N67" s="64"/>
    </row>
    <row r="68" spans="2:20" ht="14.25" customHeight="1" x14ac:dyDescent="0.15">
      <c r="B68" s="1" t="s">
        <v>199</v>
      </c>
      <c r="L68" s="58"/>
      <c r="M68" s="58"/>
      <c r="N68" s="64"/>
    </row>
    <row r="69" spans="2:20" ht="14.25" customHeight="1" x14ac:dyDescent="0.15">
      <c r="C69" s="1" t="s">
        <v>172</v>
      </c>
      <c r="E69" s="39" t="s">
        <v>200</v>
      </c>
      <c r="L69" s="58"/>
      <c r="M69" s="58"/>
      <c r="N69" s="64"/>
    </row>
    <row r="70" spans="2:20" ht="14.25" customHeight="1" x14ac:dyDescent="0.15">
      <c r="C70" s="1" t="s">
        <v>165</v>
      </c>
      <c r="E70" s="39" t="s">
        <v>201</v>
      </c>
      <c r="L70" s="58"/>
      <c r="M70" s="58"/>
      <c r="N70" s="64"/>
    </row>
    <row r="71" spans="2:20" ht="14.25" customHeight="1" x14ac:dyDescent="0.15">
      <c r="C71" s="58" t="s">
        <v>202</v>
      </c>
      <c r="D71" s="4" t="s">
        <v>196</v>
      </c>
      <c r="L71" s="71"/>
      <c r="M71" s="58"/>
      <c r="N71" s="71"/>
    </row>
    <row r="72" spans="2:20" ht="14.25" customHeight="1" x14ac:dyDescent="0.15">
      <c r="C72" s="58" t="s">
        <v>203</v>
      </c>
      <c r="D72" s="4" t="s">
        <v>204</v>
      </c>
      <c r="L72" s="71"/>
      <c r="M72" s="58"/>
      <c r="N72" s="71"/>
      <c r="O72" s="58"/>
      <c r="P72" s="58"/>
      <c r="Q72" s="58"/>
      <c r="R72" s="58"/>
      <c r="S72" s="58"/>
      <c r="T72" s="58"/>
    </row>
    <row r="73" spans="2:20" ht="14.25" customHeight="1" x14ac:dyDescent="0.15">
      <c r="D73" s="4" t="s">
        <v>205</v>
      </c>
      <c r="L73" s="58"/>
      <c r="M73" s="58"/>
      <c r="N73" s="72"/>
      <c r="O73" s="64"/>
      <c r="P73" s="64"/>
      <c r="Q73" s="64"/>
      <c r="R73" s="64"/>
      <c r="S73" s="64"/>
      <c r="T73" s="64"/>
    </row>
    <row r="74" spans="2:20" ht="14.25" customHeight="1" x14ac:dyDescent="0.15">
      <c r="C74" s="1" t="s">
        <v>206</v>
      </c>
      <c r="D74" s="4"/>
      <c r="L74" s="58"/>
      <c r="M74" s="58"/>
      <c r="N74" s="72"/>
      <c r="O74" s="64"/>
      <c r="P74" s="64"/>
      <c r="Q74" s="64"/>
      <c r="R74" s="64"/>
      <c r="S74" s="64"/>
      <c r="T74" s="64"/>
    </row>
    <row r="75" spans="2:20" ht="14.25" customHeight="1" x14ac:dyDescent="0.15">
      <c r="C75" s="67" t="s">
        <v>203</v>
      </c>
      <c r="D75" s="4" t="s">
        <v>207</v>
      </c>
      <c r="F75" s="98">
        <f>[1]!answer(D75)</f>
        <v>16</v>
      </c>
      <c r="G75" s="1" t="s">
        <v>208</v>
      </c>
      <c r="L75" s="58"/>
      <c r="M75" s="58"/>
      <c r="N75" s="72"/>
      <c r="O75" s="64"/>
      <c r="P75" s="64"/>
      <c r="Q75" s="64"/>
      <c r="R75" s="64"/>
      <c r="S75" s="64"/>
      <c r="T75" s="64"/>
    </row>
    <row r="76" spans="2:20" ht="14.25" customHeight="1" x14ac:dyDescent="0.15">
      <c r="D76" s="4"/>
      <c r="L76" s="58"/>
      <c r="M76" s="58"/>
      <c r="N76" s="72"/>
      <c r="O76" s="64"/>
      <c r="P76" s="64"/>
      <c r="Q76" s="64"/>
      <c r="R76" s="64"/>
      <c r="S76" s="64"/>
      <c r="T76" s="64"/>
    </row>
    <row r="77" spans="2:20" ht="14.25" customHeight="1" x14ac:dyDescent="0.15">
      <c r="C77" s="88" t="s">
        <v>209</v>
      </c>
      <c r="D77" s="3" t="s">
        <v>210</v>
      </c>
      <c r="L77" s="73"/>
      <c r="M77" s="58"/>
      <c r="N77" s="74"/>
      <c r="O77" s="64"/>
      <c r="P77" s="64"/>
      <c r="Q77" s="64"/>
      <c r="R77" s="64"/>
      <c r="S77" s="64"/>
      <c r="T77" s="64"/>
    </row>
    <row r="78" spans="2:20" ht="14.25" customHeight="1" x14ac:dyDescent="0.15">
      <c r="C78" s="58" t="s">
        <v>211</v>
      </c>
      <c r="D78" s="3" t="s">
        <v>212</v>
      </c>
      <c r="L78" s="58"/>
      <c r="M78" s="58"/>
      <c r="N78" s="72"/>
      <c r="O78" s="299"/>
      <c r="P78" s="299"/>
      <c r="Q78" s="299"/>
      <c r="R78" s="299"/>
      <c r="S78" s="299"/>
      <c r="T78" s="299"/>
    </row>
    <row r="79" spans="2:20" ht="14.25" customHeight="1" x14ac:dyDescent="0.15">
      <c r="L79" s="58"/>
      <c r="M79" s="58"/>
      <c r="N79" s="72"/>
      <c r="O79" s="300"/>
      <c r="P79" s="300"/>
      <c r="Q79" s="300"/>
      <c r="R79" s="300"/>
      <c r="S79" s="300"/>
      <c r="T79" s="300"/>
    </row>
    <row r="80" spans="2:20" ht="14.25" customHeight="1" x14ac:dyDescent="0.15">
      <c r="L80" s="73"/>
      <c r="M80" s="58"/>
      <c r="N80" s="72"/>
      <c r="O80" s="300"/>
      <c r="P80" s="300"/>
      <c r="Q80" s="300"/>
      <c r="R80" s="300"/>
      <c r="S80" s="300"/>
      <c r="T80" s="300"/>
    </row>
    <row r="81" spans="1:20" ht="14.25" customHeight="1" x14ac:dyDescent="0.15">
      <c r="A81" s="87" t="s">
        <v>213</v>
      </c>
      <c r="L81" s="58"/>
      <c r="M81" s="58"/>
      <c r="N81" s="71"/>
      <c r="O81" s="58"/>
      <c r="P81" s="58"/>
      <c r="Q81" s="58"/>
      <c r="R81" s="58"/>
      <c r="S81" s="58"/>
      <c r="T81" s="58"/>
    </row>
    <row r="82" spans="1:20" ht="14.25" customHeight="1" x14ac:dyDescent="0.15">
      <c r="N82" s="72"/>
      <c r="O82" s="284"/>
      <c r="P82" s="284"/>
      <c r="Q82" s="284"/>
      <c r="R82" s="284"/>
      <c r="S82" s="284"/>
      <c r="T82" s="284"/>
    </row>
    <row r="83" spans="1:20" ht="14.25" customHeight="1" x14ac:dyDescent="0.15">
      <c r="B83" s="87" t="s">
        <v>214</v>
      </c>
      <c r="L83" s="58"/>
      <c r="M83" s="58"/>
      <c r="N83" s="71"/>
      <c r="O83" s="58"/>
      <c r="P83" s="58"/>
      <c r="Q83" s="58"/>
      <c r="R83" s="58"/>
      <c r="S83" s="58"/>
      <c r="T83" s="58"/>
    </row>
    <row r="84" spans="1:20" ht="14.25" customHeight="1" x14ac:dyDescent="0.15">
      <c r="B84" s="58"/>
      <c r="C84" s="67" t="s">
        <v>215</v>
      </c>
      <c r="D84" s="58" t="s">
        <v>216</v>
      </c>
      <c r="E84" s="71" t="s">
        <v>31</v>
      </c>
      <c r="L84" s="71"/>
      <c r="M84" s="58"/>
      <c r="N84" s="71"/>
    </row>
    <row r="85" spans="1:20" ht="14.25" customHeight="1" x14ac:dyDescent="0.15">
      <c r="D85" s="67" t="s">
        <v>79</v>
      </c>
      <c r="E85" s="1" t="s">
        <v>217</v>
      </c>
      <c r="L85" s="71"/>
      <c r="M85" s="58"/>
      <c r="N85" s="71"/>
    </row>
    <row r="86" spans="1:20" ht="14.25" customHeight="1" x14ac:dyDescent="0.15">
      <c r="D86" s="67" t="s">
        <v>218</v>
      </c>
      <c r="E86" s="1" t="s">
        <v>219</v>
      </c>
      <c r="L86" s="58"/>
      <c r="M86" s="116"/>
      <c r="N86" s="64"/>
    </row>
    <row r="87" spans="1:20" ht="14.25" customHeight="1" x14ac:dyDescent="0.15">
      <c r="B87" s="87" t="s">
        <v>220</v>
      </c>
      <c r="N87" s="64"/>
    </row>
    <row r="88" spans="1:20" ht="14.25" customHeight="1" x14ac:dyDescent="0.15">
      <c r="C88" s="67" t="s">
        <v>221</v>
      </c>
      <c r="D88" s="71" t="s">
        <v>222</v>
      </c>
      <c r="L88" s="58"/>
      <c r="M88" s="58"/>
      <c r="N88" s="64"/>
    </row>
    <row r="89" spans="1:20" ht="14.25" customHeight="1" x14ac:dyDescent="0.15">
      <c r="D89" s="67" t="s">
        <v>223</v>
      </c>
      <c r="E89" s="1" t="s">
        <v>224</v>
      </c>
      <c r="L89" s="58"/>
      <c r="M89" s="58"/>
      <c r="O89" s="277"/>
      <c r="P89" s="277"/>
      <c r="Q89" s="299"/>
      <c r="R89" s="299"/>
      <c r="S89" s="299"/>
      <c r="T89" s="299"/>
    </row>
    <row r="90" spans="1:20" ht="14.25" customHeight="1" x14ac:dyDescent="0.15">
      <c r="D90" s="67" t="s">
        <v>225</v>
      </c>
      <c r="E90" s="1" t="s">
        <v>163</v>
      </c>
      <c r="O90" s="277"/>
      <c r="P90" s="277"/>
      <c r="Q90" s="299"/>
      <c r="R90" s="299"/>
      <c r="S90" s="299"/>
      <c r="T90" s="299"/>
    </row>
    <row r="91" spans="1:20" ht="14.25" customHeight="1" x14ac:dyDescent="0.15">
      <c r="D91" s="67" t="s">
        <v>226</v>
      </c>
      <c r="E91" s="71" t="s">
        <v>227</v>
      </c>
      <c r="L91" s="71"/>
      <c r="M91" s="58"/>
      <c r="N91" s="71"/>
      <c r="O91" s="58"/>
      <c r="P91" s="58"/>
      <c r="Q91" s="58"/>
      <c r="R91" s="58"/>
      <c r="S91" s="58"/>
      <c r="T91" s="58"/>
    </row>
    <row r="92" spans="1:20" ht="14.25" customHeight="1" x14ac:dyDescent="0.15">
      <c r="E92" s="71" t="s">
        <v>228</v>
      </c>
      <c r="L92" s="58"/>
      <c r="M92" s="58"/>
      <c r="N92" s="72"/>
      <c r="O92" s="64"/>
      <c r="P92" s="64"/>
      <c r="Q92" s="64"/>
      <c r="R92" s="64"/>
      <c r="S92" s="64"/>
      <c r="T92" s="64"/>
    </row>
    <row r="93" spans="1:20" ht="14.25" customHeight="1" x14ac:dyDescent="0.15">
      <c r="E93" s="71" t="s">
        <v>229</v>
      </c>
      <c r="L93" s="73"/>
      <c r="M93" s="58"/>
      <c r="N93" s="74"/>
      <c r="O93" s="64"/>
      <c r="P93" s="64"/>
      <c r="Q93" s="64"/>
      <c r="R93" s="64"/>
      <c r="S93" s="64"/>
      <c r="T93" s="64"/>
    </row>
    <row r="94" spans="1:20" ht="14.25" customHeight="1" x14ac:dyDescent="0.15">
      <c r="E94" s="67" t="s">
        <v>230</v>
      </c>
      <c r="F94" s="1" t="s">
        <v>231</v>
      </c>
      <c r="L94" s="58"/>
      <c r="M94" s="58"/>
      <c r="N94" s="72"/>
      <c r="O94" s="58"/>
      <c r="P94" s="58"/>
      <c r="Q94" s="58"/>
      <c r="R94" s="58"/>
      <c r="S94" s="58"/>
      <c r="T94" s="58"/>
    </row>
    <row r="95" spans="1:20" ht="14.25" customHeight="1" x14ac:dyDescent="0.15">
      <c r="E95" s="67" t="s">
        <v>75</v>
      </c>
      <c r="F95" s="1" t="s">
        <v>76</v>
      </c>
      <c r="L95" s="58"/>
      <c r="M95" s="58"/>
      <c r="N95" s="72"/>
      <c r="O95" s="300"/>
      <c r="P95" s="300"/>
      <c r="Q95" s="300"/>
      <c r="R95" s="300"/>
      <c r="S95" s="300"/>
      <c r="T95" s="300"/>
    </row>
    <row r="96" spans="1:20" ht="14.25" customHeight="1" x14ac:dyDescent="0.15">
      <c r="L96" s="73"/>
      <c r="M96" s="58"/>
      <c r="N96" s="72"/>
      <c r="O96" s="300"/>
      <c r="P96" s="300"/>
      <c r="Q96" s="300"/>
      <c r="R96" s="300"/>
      <c r="S96" s="300"/>
      <c r="T96" s="300"/>
    </row>
    <row r="97" spans="12:20" ht="14.25" customHeight="1" x14ac:dyDescent="0.15">
      <c r="L97" s="58"/>
      <c r="M97" s="58"/>
      <c r="N97" s="71"/>
      <c r="O97" s="58"/>
      <c r="P97" s="58"/>
      <c r="Q97" s="58"/>
      <c r="R97" s="58"/>
      <c r="S97" s="58"/>
      <c r="T97" s="58"/>
    </row>
    <row r="98" spans="12:20" ht="14.25" customHeight="1" x14ac:dyDescent="0.15">
      <c r="N98" s="72"/>
      <c r="O98" s="284"/>
      <c r="P98" s="284"/>
      <c r="Q98" s="284"/>
      <c r="R98" s="284"/>
      <c r="S98" s="284"/>
      <c r="T98" s="284"/>
    </row>
    <row r="99" spans="12:20" ht="14.25" customHeight="1" x14ac:dyDescent="0.15">
      <c r="L99" s="58"/>
      <c r="M99" s="58"/>
      <c r="N99" s="71"/>
      <c r="O99" s="58"/>
      <c r="P99" s="58"/>
      <c r="Q99" s="58"/>
      <c r="R99" s="58"/>
      <c r="S99" s="58"/>
      <c r="T99" s="58"/>
    </row>
    <row r="100" spans="12:20" ht="14.25" customHeight="1" x14ac:dyDescent="0.15">
      <c r="L100" s="71"/>
      <c r="M100" s="58"/>
      <c r="N100" s="71"/>
    </row>
    <row r="101" spans="12:20" ht="14.25" customHeight="1" x14ac:dyDescent="0.15">
      <c r="L101" s="71"/>
      <c r="M101" s="58"/>
      <c r="N101" s="71"/>
    </row>
    <row r="102" spans="12:20" ht="14.25" customHeight="1" x14ac:dyDescent="0.15">
      <c r="L102" s="71"/>
      <c r="M102" s="58"/>
      <c r="N102" s="71"/>
    </row>
    <row r="103" spans="12:20" ht="14.25" customHeight="1" x14ac:dyDescent="0.15">
      <c r="O103" s="277"/>
      <c r="P103" s="277"/>
      <c r="Q103" s="299"/>
      <c r="R103" s="299"/>
      <c r="S103" s="299"/>
      <c r="T103" s="299"/>
    </row>
    <row r="104" spans="12:20" ht="14.25" customHeight="1" x14ac:dyDescent="0.15">
      <c r="O104" s="277"/>
      <c r="P104" s="277"/>
      <c r="Q104" s="299"/>
      <c r="R104" s="299"/>
      <c r="S104" s="299"/>
      <c r="T104" s="299"/>
    </row>
    <row r="105" spans="12:20" ht="14.25" customHeight="1" x14ac:dyDescent="0.15">
      <c r="O105" s="277"/>
      <c r="P105" s="277"/>
      <c r="Q105" s="299"/>
      <c r="R105" s="299"/>
      <c r="S105" s="299"/>
      <c r="T105" s="299"/>
    </row>
    <row r="106" spans="12:20" ht="14.25" customHeight="1" x14ac:dyDescent="0.15">
      <c r="L106" s="58"/>
      <c r="M106" s="58"/>
      <c r="N106" s="64"/>
      <c r="O106" s="277"/>
      <c r="P106" s="277"/>
      <c r="Q106" s="299"/>
      <c r="R106" s="299"/>
      <c r="S106" s="299"/>
      <c r="T106" s="299"/>
    </row>
    <row r="107" spans="12:20" ht="14.25" customHeight="1" x14ac:dyDescent="0.15">
      <c r="L107" s="71"/>
      <c r="M107" s="58"/>
      <c r="N107" s="71"/>
      <c r="P107" s="73"/>
    </row>
    <row r="108" spans="12:20" ht="14.25" customHeight="1" x14ac:dyDescent="0.15">
      <c r="L108" s="58"/>
      <c r="M108" s="58"/>
      <c r="N108" s="71"/>
      <c r="O108" s="58"/>
      <c r="P108" s="58"/>
      <c r="Q108" s="58"/>
      <c r="R108" s="58"/>
      <c r="S108" s="58"/>
      <c r="T108" s="58"/>
    </row>
    <row r="109" spans="12:20" ht="14.25" customHeight="1" x14ac:dyDescent="0.15">
      <c r="L109" s="64"/>
      <c r="M109" s="58"/>
      <c r="N109" s="277"/>
      <c r="O109" s="277"/>
      <c r="P109" s="299"/>
      <c r="Q109" s="58"/>
      <c r="R109" s="58"/>
      <c r="S109" s="58"/>
      <c r="T109" s="58"/>
    </row>
    <row r="110" spans="12:20" ht="14.25" customHeight="1" x14ac:dyDescent="0.15">
      <c r="L110" s="64"/>
      <c r="M110" s="58"/>
      <c r="N110" s="277"/>
      <c r="O110" s="277"/>
      <c r="P110" s="299"/>
      <c r="Q110" s="58"/>
      <c r="R110" s="58"/>
      <c r="S110" s="58"/>
      <c r="T110" s="58"/>
    </row>
    <row r="111" spans="12:20" ht="14.25" customHeight="1" x14ac:dyDescent="0.15">
      <c r="L111" s="64"/>
      <c r="M111" s="58"/>
      <c r="N111" s="277"/>
      <c r="O111" s="277"/>
      <c r="P111" s="299"/>
      <c r="Q111" s="58"/>
      <c r="R111" s="58"/>
      <c r="S111" s="58"/>
      <c r="T111" s="58"/>
    </row>
    <row r="112" spans="12:20" ht="14.25" customHeight="1" x14ac:dyDescent="0.15">
      <c r="L112" s="64"/>
      <c r="M112" s="58"/>
      <c r="N112" s="277"/>
      <c r="O112" s="277"/>
      <c r="P112" s="299"/>
      <c r="Q112" s="58"/>
      <c r="R112" s="58"/>
      <c r="S112" s="58"/>
      <c r="T112" s="58"/>
    </row>
    <row r="113" spans="12:20" ht="14.25" customHeight="1" x14ac:dyDescent="0.15">
      <c r="L113" s="64"/>
      <c r="M113" s="58"/>
      <c r="N113" s="277"/>
      <c r="O113" s="277"/>
      <c r="P113" s="299"/>
      <c r="Q113" s="58"/>
      <c r="R113" s="58"/>
      <c r="S113" s="58"/>
      <c r="T113" s="58"/>
    </row>
    <row r="114" spans="12:20" ht="14.25" customHeight="1" x14ac:dyDescent="0.15">
      <c r="L114" s="64"/>
      <c r="M114" s="58"/>
      <c r="N114" s="277"/>
      <c r="O114" s="277"/>
      <c r="P114" s="299"/>
      <c r="Q114" s="58"/>
      <c r="R114" s="58"/>
      <c r="S114" s="58"/>
      <c r="T114" s="58"/>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phoneticPr fontId="1"/>
  <conditionalFormatting sqref="O44:T44 O50:T50">
    <cfRule type="cellIs" dxfId="15" priority="3" stopIfTrue="1" operator="greaterThanOrEqual">
      <formula>1</formula>
    </cfRule>
  </conditionalFormatting>
  <dataValidations count="1">
    <dataValidation type="whole" showInputMessage="1" showErrorMessage="1" sqref="O34:T34" xr:uid="{00000000-0002-0000-0000-000000000000}">
      <formula1>1</formula1>
      <formula2>1</formula2>
    </dataValidation>
  </dataValidations>
  <pageMargins left="0.78740157480314965" right="0.59055118110236227" top="0.98425196850393704" bottom="0.98425196850393704" header="0.51181102362204722" footer="0.51181102362204722"/>
  <pageSetup paperSize="9" scale="82" fitToWidth="2" fitToHeight="2" orientation="portrait" blackAndWhite="1" r:id="rId1"/>
  <rowBreaks count="1" manualBreakCount="1">
    <brk id="57" max="19" man="1"/>
  </rowBreaks>
  <colBreaks count="1" manualBreakCount="1">
    <brk id="10" min="1" max="111"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0"/>
  <sheetViews>
    <sheetView workbookViewId="0">
      <selection activeCell="A50" sqref="A50"/>
    </sheetView>
  </sheetViews>
  <sheetFormatPr defaultRowHeight="13.5" x14ac:dyDescent="0.15"/>
  <cols>
    <col min="1" max="1" width="4.5" style="190" bestFit="1" customWidth="1"/>
    <col min="2" max="4" width="9.125" style="190" bestFit="1" customWidth="1"/>
    <col min="5" max="5" width="9.5" style="190" bestFit="1" customWidth="1"/>
    <col min="6" max="9" width="9.125" style="190" bestFit="1" customWidth="1"/>
  </cols>
  <sheetData>
    <row r="1" spans="1:17" x14ac:dyDescent="0.15">
      <c r="C1" s="32" t="s">
        <v>407</v>
      </c>
    </row>
    <row r="3" spans="1:17" x14ac:dyDescent="0.15">
      <c r="A3" s="37"/>
      <c r="B3" s="41" t="s">
        <v>408</v>
      </c>
      <c r="C3" s="42" t="s">
        <v>409</v>
      </c>
      <c r="D3" s="44">
        <v>0.25</v>
      </c>
      <c r="E3" s="42" t="s">
        <v>410</v>
      </c>
      <c r="F3" s="41" t="s">
        <v>408</v>
      </c>
      <c r="G3" s="42" t="s">
        <v>409</v>
      </c>
      <c r="H3" s="44">
        <v>0</v>
      </c>
      <c r="I3" s="43" t="s">
        <v>411</v>
      </c>
      <c r="M3" s="532" t="s">
        <v>412</v>
      </c>
      <c r="N3" s="532" t="s">
        <v>413</v>
      </c>
      <c r="O3" s="532" t="s">
        <v>414</v>
      </c>
      <c r="P3" s="532" t="s">
        <v>415</v>
      </c>
      <c r="Q3" s="533" t="s">
        <v>416</v>
      </c>
    </row>
    <row r="4" spans="1:17" x14ac:dyDescent="0.15">
      <c r="A4" s="38" t="s">
        <v>294</v>
      </c>
      <c r="B4" s="32" t="s">
        <v>417</v>
      </c>
      <c r="C4" s="32" t="s">
        <v>418</v>
      </c>
      <c r="D4" s="32" t="s">
        <v>419</v>
      </c>
      <c r="E4" s="32" t="s">
        <v>420</v>
      </c>
      <c r="F4" s="34" t="s">
        <v>417</v>
      </c>
      <c r="G4" s="32" t="s">
        <v>418</v>
      </c>
      <c r="H4" s="32" t="s">
        <v>419</v>
      </c>
      <c r="I4" s="35" t="s">
        <v>420</v>
      </c>
      <c r="M4" s="534">
        <v>0</v>
      </c>
      <c r="N4" s="534">
        <v>0</v>
      </c>
      <c r="O4" s="534">
        <v>5.0999999999999996</v>
      </c>
      <c r="P4" s="534">
        <f t="shared" ref="P4:P44" si="0">(Q4-1)*TAN(1.4*N4/180*PI())</f>
        <v>0</v>
      </c>
      <c r="Q4" s="535">
        <f t="shared" ref="Q4:Q44" si="1">(1+SIN(N4/180*PI()))/(1-SIN(N4/180*PI()))*EXP(PI()*TAN(N4/180*PI()))</f>
        <v>1</v>
      </c>
    </row>
    <row r="5" spans="1:17" x14ac:dyDescent="0.15">
      <c r="A5" s="33">
        <v>0.5</v>
      </c>
      <c r="B5" s="532">
        <v>3.5000000000000003E-2</v>
      </c>
      <c r="C5" s="536">
        <v>0.24199999999999999</v>
      </c>
      <c r="D5" s="536">
        <v>0.33500000000000002</v>
      </c>
      <c r="E5" s="536">
        <v>4.548</v>
      </c>
      <c r="F5" s="532">
        <v>0.192</v>
      </c>
      <c r="G5" s="536">
        <v>0</v>
      </c>
      <c r="H5" s="536">
        <v>0.21099999999999999</v>
      </c>
      <c r="I5" s="537">
        <v>6.01</v>
      </c>
      <c r="M5" s="534">
        <v>0</v>
      </c>
      <c r="N5" s="534">
        <v>1</v>
      </c>
      <c r="O5" s="534">
        <f t="shared" ref="O5:O44" si="2">(Q5-1)*1/TAN(N5/180*PI())</f>
        <v>5.3792622412000304</v>
      </c>
      <c r="P5" s="534">
        <f t="shared" si="0"/>
        <v>2.2947534560996104E-3</v>
      </c>
      <c r="Q5" s="535">
        <f t="shared" si="1"/>
        <v>1.0938953716860558</v>
      </c>
    </row>
    <row r="6" spans="1:17" x14ac:dyDescent="0.15">
      <c r="A6" s="34">
        <v>0.6</v>
      </c>
      <c r="B6" s="534">
        <v>4.5999999999999999E-2</v>
      </c>
      <c r="C6" s="538">
        <v>0.28100000000000003</v>
      </c>
      <c r="D6" s="538">
        <v>0.39200000000000002</v>
      </c>
      <c r="E6" s="538">
        <v>3.8290000000000002</v>
      </c>
      <c r="F6" s="534">
        <v>0.23</v>
      </c>
      <c r="G6" s="538">
        <v>0</v>
      </c>
      <c r="H6" s="538">
        <v>0.253</v>
      </c>
      <c r="I6" s="539">
        <v>5.016</v>
      </c>
      <c r="M6" s="534">
        <v>0</v>
      </c>
      <c r="N6" s="534">
        <v>2</v>
      </c>
      <c r="O6" s="534">
        <f t="shared" si="2"/>
        <v>5.6316001578587356</v>
      </c>
      <c r="P6" s="534">
        <f t="shared" si="0"/>
        <v>9.6182693871943517E-3</v>
      </c>
      <c r="Q6" s="535">
        <f t="shared" si="1"/>
        <v>1.196659810982275</v>
      </c>
    </row>
    <row r="7" spans="1:17" x14ac:dyDescent="0.15">
      <c r="A7" s="34">
        <v>0.7</v>
      </c>
      <c r="B7" s="534">
        <v>6.0999999999999999E-2</v>
      </c>
      <c r="C7" s="538">
        <v>0.312</v>
      </c>
      <c r="D7" s="538">
        <v>0.443</v>
      </c>
      <c r="E7" s="538">
        <v>3.3330000000000002</v>
      </c>
      <c r="F7" s="534">
        <v>0.26800000000000002</v>
      </c>
      <c r="G7" s="538">
        <v>0</v>
      </c>
      <c r="H7" s="538">
        <v>0.29499999999999998</v>
      </c>
      <c r="I7" s="539">
        <v>4.3120000000000003</v>
      </c>
      <c r="M7" s="534">
        <v>0</v>
      </c>
      <c r="N7" s="534">
        <v>3</v>
      </c>
      <c r="O7" s="534">
        <f t="shared" si="2"/>
        <v>5.8997692508012367</v>
      </c>
      <c r="P7" s="534">
        <f t="shared" si="0"/>
        <v>2.270577369288472E-2</v>
      </c>
      <c r="Q7" s="535">
        <f t="shared" si="1"/>
        <v>1.3091938047168645</v>
      </c>
    </row>
    <row r="8" spans="1:17" x14ac:dyDescent="0.15">
      <c r="A8" s="34">
        <v>0.8</v>
      </c>
      <c r="B8" s="534">
        <v>8.3000000000000004E-2</v>
      </c>
      <c r="C8" s="538">
        <v>0.33100000000000002</v>
      </c>
      <c r="D8" s="538">
        <v>0.48599999999999999</v>
      </c>
      <c r="E8" s="538">
        <v>2.9769999999999999</v>
      </c>
      <c r="F8" s="534">
        <v>0.30599999999999999</v>
      </c>
      <c r="G8" s="538">
        <v>0</v>
      </c>
      <c r="H8" s="538">
        <v>0.33700000000000002</v>
      </c>
      <c r="I8" s="539">
        <v>3.7890000000000001</v>
      </c>
      <c r="M8" s="534">
        <v>0</v>
      </c>
      <c r="N8" s="534">
        <v>4</v>
      </c>
      <c r="O8" s="534">
        <f t="shared" si="2"/>
        <v>6.1850440548170376</v>
      </c>
      <c r="P8" s="534">
        <f t="shared" si="0"/>
        <v>4.2407036218999224E-2</v>
      </c>
      <c r="Q8" s="535">
        <f t="shared" si="1"/>
        <v>1.4325004124835181</v>
      </c>
    </row>
    <row r="9" spans="1:17" x14ac:dyDescent="0.15">
      <c r="A9" s="34">
        <v>0.9</v>
      </c>
      <c r="B9" s="534">
        <v>0.111</v>
      </c>
      <c r="C9" s="538">
        <v>0.34</v>
      </c>
      <c r="D9" s="538">
        <v>0.52500000000000002</v>
      </c>
      <c r="E9" s="538">
        <v>2.7120000000000002</v>
      </c>
      <c r="F9" s="534">
        <v>0.34300000000000003</v>
      </c>
      <c r="G9" s="538">
        <v>0</v>
      </c>
      <c r="H9" s="538">
        <v>0.378</v>
      </c>
      <c r="I9" s="539">
        <v>3.3879999999999999</v>
      </c>
      <c r="M9" s="534">
        <v>0</v>
      </c>
      <c r="N9" s="534">
        <v>5</v>
      </c>
      <c r="O9" s="534">
        <f t="shared" si="2"/>
        <v>6.4888234442252237</v>
      </c>
      <c r="P9" s="534">
        <f t="shared" si="0"/>
        <v>6.970460994156509E-2</v>
      </c>
      <c r="Q9" s="535">
        <f t="shared" si="1"/>
        <v>1.5676984909909479</v>
      </c>
    </row>
    <row r="10" spans="1:17" x14ac:dyDescent="0.15">
      <c r="A10" s="34">
        <v>1</v>
      </c>
      <c r="B10" s="534">
        <v>0.14499999999999999</v>
      </c>
      <c r="C10" s="538">
        <v>0.33900000000000002</v>
      </c>
      <c r="D10" s="538">
        <v>0.55900000000000005</v>
      </c>
      <c r="E10" s="538">
        <v>2.5089999999999999</v>
      </c>
      <c r="F10" s="534">
        <v>0.379</v>
      </c>
      <c r="G10" s="538">
        <v>0</v>
      </c>
      <c r="H10" s="538">
        <v>0.41899999999999998</v>
      </c>
      <c r="I10" s="539">
        <v>3.0750000000000002</v>
      </c>
      <c r="M10" s="534">
        <v>0</v>
      </c>
      <c r="N10" s="534">
        <v>6</v>
      </c>
      <c r="O10" s="534">
        <f t="shared" si="2"/>
        <v>6.8126449376791163</v>
      </c>
      <c r="P10" s="534">
        <f t="shared" si="0"/>
        <v>0.10573526844761272</v>
      </c>
      <c r="Q10" s="535">
        <f t="shared" si="1"/>
        <v>1.7160378363113455</v>
      </c>
    </row>
    <row r="11" spans="1:17" x14ac:dyDescent="0.15">
      <c r="A11" s="34">
        <v>1.1000000000000001</v>
      </c>
      <c r="B11" s="534">
        <v>0.184</v>
      </c>
      <c r="C11" s="538">
        <v>0.33100000000000002</v>
      </c>
      <c r="D11" s="538">
        <v>0.59099999999999997</v>
      </c>
      <c r="E11" s="538">
        <v>2.35</v>
      </c>
      <c r="F11" s="534">
        <v>0.41399999999999998</v>
      </c>
      <c r="G11" s="538">
        <v>0</v>
      </c>
      <c r="H11" s="538">
        <v>0.46</v>
      </c>
      <c r="I11" s="539">
        <v>2.827</v>
      </c>
      <c r="M11" s="534">
        <v>0</v>
      </c>
      <c r="N11" s="534">
        <v>7</v>
      </c>
      <c r="O11" s="534">
        <f t="shared" si="2"/>
        <v>7.1582009009241121</v>
      </c>
      <c r="P11" s="534">
        <f t="shared" si="0"/>
        <v>0.15181525008690344</v>
      </c>
      <c r="Q11" s="535">
        <f t="shared" si="1"/>
        <v>1.8789165544747433</v>
      </c>
    </row>
    <row r="12" spans="1:17" x14ac:dyDescent="0.15">
      <c r="A12" s="34">
        <v>1.2</v>
      </c>
      <c r="B12" s="534">
        <v>0.22500000000000001</v>
      </c>
      <c r="C12" s="538">
        <v>0.31900000000000001</v>
      </c>
      <c r="D12" s="538">
        <v>0.623</v>
      </c>
      <c r="E12" s="538">
        <v>2.2200000000000002</v>
      </c>
      <c r="F12" s="534">
        <v>0.44800000000000001</v>
      </c>
      <c r="G12" s="538">
        <v>0</v>
      </c>
      <c r="H12" s="538">
        <v>0.499</v>
      </c>
      <c r="I12" s="539">
        <v>2.6280000000000001</v>
      </c>
      <c r="M12" s="534">
        <v>0</v>
      </c>
      <c r="N12" s="534">
        <v>8</v>
      </c>
      <c r="O12" s="534">
        <f t="shared" si="2"/>
        <v>7.5273569333929462</v>
      </c>
      <c r="P12" s="534">
        <f t="shared" si="0"/>
        <v>0.20947004398817212</v>
      </c>
      <c r="Q12" s="535">
        <f t="shared" si="1"/>
        <v>2.0579010265218782</v>
      </c>
    </row>
    <row r="13" spans="1:17" x14ac:dyDescent="0.15">
      <c r="A13" s="34">
        <v>1.3</v>
      </c>
      <c r="B13" s="534">
        <v>0.26700000000000002</v>
      </c>
      <c r="C13" s="538">
        <v>0.30499999999999999</v>
      </c>
      <c r="D13" s="538">
        <v>0.65400000000000003</v>
      </c>
      <c r="E13" s="538">
        <v>2.113</v>
      </c>
      <c r="F13" s="534">
        <v>0.48</v>
      </c>
      <c r="G13" s="538">
        <v>0</v>
      </c>
      <c r="H13" s="538">
        <v>0.53700000000000003</v>
      </c>
      <c r="I13" s="539">
        <v>2.468</v>
      </c>
      <c r="M13" s="534">
        <v>0</v>
      </c>
      <c r="N13" s="534">
        <v>9</v>
      </c>
      <c r="O13" s="534">
        <f t="shared" si="2"/>
        <v>7.9221727728090521</v>
      </c>
      <c r="P13" s="534">
        <f t="shared" si="0"/>
        <v>0.28046960870944299</v>
      </c>
      <c r="Q13" s="535">
        <f t="shared" si="1"/>
        <v>2.2547489007756414</v>
      </c>
    </row>
    <row r="14" spans="1:17" x14ac:dyDescent="0.15">
      <c r="A14" s="34">
        <v>1.4</v>
      </c>
      <c r="B14" s="534">
        <v>0.307</v>
      </c>
      <c r="C14" s="538">
        <v>0.29199999999999998</v>
      </c>
      <c r="D14" s="538">
        <v>0.68500000000000005</v>
      </c>
      <c r="E14" s="538">
        <v>2.024</v>
      </c>
      <c r="F14" s="534">
        <v>0.51</v>
      </c>
      <c r="G14" s="538">
        <v>0</v>
      </c>
      <c r="H14" s="538">
        <v>0.57399999999999995</v>
      </c>
      <c r="I14" s="539">
        <v>2.3410000000000002</v>
      </c>
      <c r="M14" s="534">
        <v>0</v>
      </c>
      <c r="N14" s="534">
        <v>10</v>
      </c>
      <c r="O14" s="534">
        <f t="shared" si="2"/>
        <v>8.3449261093109204</v>
      </c>
      <c r="P14" s="534">
        <f t="shared" si="0"/>
        <v>0.36687010571600492</v>
      </c>
      <c r="Q14" s="535">
        <f t="shared" si="1"/>
        <v>2.4714356250900322</v>
      </c>
    </row>
    <row r="15" spans="1:17" x14ac:dyDescent="0.15">
      <c r="A15" s="34">
        <v>1.5</v>
      </c>
      <c r="B15" s="534">
        <v>0.34399999999999997</v>
      </c>
      <c r="C15" s="538">
        <v>0.28000000000000003</v>
      </c>
      <c r="D15" s="538" t="s">
        <v>421</v>
      </c>
      <c r="E15" s="538">
        <v>1.952</v>
      </c>
      <c r="F15" s="534">
        <v>0.53800000000000003</v>
      </c>
      <c r="G15" s="538">
        <v>0</v>
      </c>
      <c r="H15" s="538">
        <v>0.61</v>
      </c>
      <c r="I15" s="539">
        <v>2.2389999999999999</v>
      </c>
      <c r="M15" s="534">
        <v>0</v>
      </c>
      <c r="N15" s="534">
        <v>11</v>
      </c>
      <c r="O15" s="534">
        <f t="shared" si="2"/>
        <v>8.7981397688797571</v>
      </c>
      <c r="P15" s="534">
        <f t="shared" si="0"/>
        <v>0.47106346613674299</v>
      </c>
      <c r="Q15" s="535">
        <f t="shared" si="1"/>
        <v>2.7101851281117022</v>
      </c>
    </row>
    <row r="16" spans="1:17" x14ac:dyDescent="0.15">
      <c r="A16" s="34">
        <v>1.6</v>
      </c>
      <c r="B16" s="534">
        <v>0.377</v>
      </c>
      <c r="C16" s="538">
        <v>0.27</v>
      </c>
      <c r="D16" s="538">
        <v>0.748</v>
      </c>
      <c r="E16" s="538">
        <v>1.893</v>
      </c>
      <c r="F16" s="534">
        <v>0.56299999999999994</v>
      </c>
      <c r="G16" s="538">
        <v>0</v>
      </c>
      <c r="H16" s="538">
        <v>0.64300000000000002</v>
      </c>
      <c r="I16" s="539">
        <v>2.1589999999999998</v>
      </c>
      <c r="M16" s="534">
        <v>0</v>
      </c>
      <c r="N16" s="534">
        <v>12</v>
      </c>
      <c r="O16" s="534">
        <f t="shared" si="2"/>
        <v>9.2846128073433078</v>
      </c>
      <c r="P16" s="534">
        <f t="shared" si="0"/>
        <v>0.59583640176427366</v>
      </c>
      <c r="Q16" s="535">
        <f t="shared" si="1"/>
        <v>2.9735053747663449</v>
      </c>
    </row>
    <row r="17" spans="1:17" x14ac:dyDescent="0.15">
      <c r="A17" s="34">
        <v>1.7</v>
      </c>
      <c r="B17" s="534">
        <v>0.40699999999999997</v>
      </c>
      <c r="C17" s="538">
        <v>0.26200000000000001</v>
      </c>
      <c r="D17" s="538">
        <v>0.77800000000000002</v>
      </c>
      <c r="E17" s="538">
        <v>1.845</v>
      </c>
      <c r="F17" s="534">
        <v>0.58499999999999996</v>
      </c>
      <c r="G17" s="538">
        <v>0</v>
      </c>
      <c r="H17" s="538">
        <v>0.67300000000000004</v>
      </c>
      <c r="I17" s="539">
        <v>2.0979999999999999</v>
      </c>
      <c r="M17" s="534">
        <v>0</v>
      </c>
      <c r="N17" s="534">
        <v>13</v>
      </c>
      <c r="O17" s="534">
        <f t="shared" si="2"/>
        <v>9.8074561537621232</v>
      </c>
      <c r="P17" s="534">
        <f t="shared" si="0"/>
        <v>0.74444083461666555</v>
      </c>
      <c r="Q17" s="535">
        <f t="shared" si="1"/>
        <v>3.2642296617623336</v>
      </c>
    </row>
    <row r="18" spans="1:17" x14ac:dyDescent="0.15">
      <c r="A18" s="34">
        <v>1.8</v>
      </c>
      <c r="B18" s="534">
        <v>0.432</v>
      </c>
      <c r="C18" s="538">
        <v>0.25600000000000001</v>
      </c>
      <c r="D18" s="538">
        <v>0.80700000000000005</v>
      </c>
      <c r="E18" s="538">
        <v>1.8080000000000001</v>
      </c>
      <c r="F18" s="534">
        <v>0.60399999999999998</v>
      </c>
      <c r="G18" s="538">
        <v>0</v>
      </c>
      <c r="H18" s="538">
        <v>0.70099999999999996</v>
      </c>
      <c r="I18" s="539">
        <v>2.0510000000000002</v>
      </c>
      <c r="M18" s="534">
        <v>0</v>
      </c>
      <c r="N18" s="534">
        <v>14</v>
      </c>
      <c r="O18" s="534">
        <f t="shared" si="2"/>
        <v>10.370133559060363</v>
      </c>
      <c r="P18" s="534">
        <f t="shared" si="0"/>
        <v>0.92067817224584958</v>
      </c>
      <c r="Q18" s="535">
        <f t="shared" si="1"/>
        <v>3.5855646894975659</v>
      </c>
    </row>
    <row r="19" spans="1:17" x14ac:dyDescent="0.15">
      <c r="A19" s="34">
        <v>1.9</v>
      </c>
      <c r="B19" s="534">
        <v>0.45300000000000001</v>
      </c>
      <c r="C19" s="538">
        <v>0.252</v>
      </c>
      <c r="D19" s="538">
        <v>0.83399999999999996</v>
      </c>
      <c r="E19" s="538">
        <v>1.7789999999999999</v>
      </c>
      <c r="F19" s="534">
        <v>0.62</v>
      </c>
      <c r="G19" s="538">
        <v>0</v>
      </c>
      <c r="H19" s="538">
        <v>0.72599999999999998</v>
      </c>
      <c r="I19" s="539">
        <v>2.0179999999999998</v>
      </c>
      <c r="M19" s="534">
        <f t="shared" ref="M19:M44" si="3">(N19-15)^2/20</f>
        <v>0</v>
      </c>
      <c r="N19" s="534">
        <v>15</v>
      </c>
      <c r="O19" s="534">
        <f t="shared" si="2"/>
        <v>10.97650874664942</v>
      </c>
      <c r="P19" s="534">
        <f t="shared" si="0"/>
        <v>1.1290004223804013</v>
      </c>
      <c r="Q19" s="535">
        <f t="shared" si="1"/>
        <v>3.9411466543778668</v>
      </c>
    </row>
    <row r="20" spans="1:17" x14ac:dyDescent="0.15">
      <c r="A20" s="34">
        <v>2</v>
      </c>
      <c r="B20" s="534">
        <v>0.47099999999999997</v>
      </c>
      <c r="C20" s="538">
        <v>0.249</v>
      </c>
      <c r="D20" s="538">
        <v>0.85799999999999998</v>
      </c>
      <c r="E20" s="538">
        <v>1.7589999999999999</v>
      </c>
      <c r="F20" s="534">
        <v>0.63200000000000001</v>
      </c>
      <c r="G20" s="538">
        <v>0</v>
      </c>
      <c r="H20" s="538">
        <v>0.747</v>
      </c>
      <c r="I20" s="539">
        <v>1.994</v>
      </c>
      <c r="M20" s="534">
        <f t="shared" si="3"/>
        <v>0.05</v>
      </c>
      <c r="N20" s="534">
        <v>16</v>
      </c>
      <c r="O20" s="534">
        <f t="shared" si="2"/>
        <v>11.630899831855729</v>
      </c>
      <c r="P20" s="534">
        <f t="shared" si="0"/>
        <v>1.3746318514447329</v>
      </c>
      <c r="Q20" s="535">
        <f t="shared" si="1"/>
        <v>4.3351068590075252</v>
      </c>
    </row>
    <row r="21" spans="1:17" x14ac:dyDescent="0.15">
      <c r="A21" s="34">
        <v>2.1</v>
      </c>
      <c r="B21" s="534">
        <v>0.48399999999999999</v>
      </c>
      <c r="C21" s="538">
        <v>0.247</v>
      </c>
      <c r="D21" s="538">
        <v>0.88</v>
      </c>
      <c r="E21" s="538">
        <v>1.744</v>
      </c>
      <c r="F21" s="534">
        <v>0.64200000000000002</v>
      </c>
      <c r="G21" s="538">
        <v>0</v>
      </c>
      <c r="H21" s="538">
        <v>0.76500000000000001</v>
      </c>
      <c r="I21" s="539">
        <v>1.9790000000000001</v>
      </c>
      <c r="M21" s="534">
        <f t="shared" si="3"/>
        <v>0.2</v>
      </c>
      <c r="N21" s="534">
        <v>17</v>
      </c>
      <c r="O21" s="534">
        <f t="shared" si="2"/>
        <v>12.338142282866455</v>
      </c>
      <c r="P21" s="534">
        <f t="shared" si="0"/>
        <v>1.6637157872213555</v>
      </c>
      <c r="Q21" s="535">
        <f t="shared" si="1"/>
        <v>4.7721486480746726</v>
      </c>
    </row>
    <row r="22" spans="1:17" x14ac:dyDescent="0.15">
      <c r="A22" s="34">
        <v>2.2000000000000002</v>
      </c>
      <c r="B22" s="534">
        <v>0.49399999999999999</v>
      </c>
      <c r="C22" s="538">
        <v>0.246</v>
      </c>
      <c r="D22" s="538">
        <v>0.89800000000000002</v>
      </c>
      <c r="E22" s="538">
        <v>1.7350000000000001</v>
      </c>
      <c r="F22" s="534">
        <v>0.64900000000000002</v>
      </c>
      <c r="G22" s="538">
        <v>0</v>
      </c>
      <c r="H22" s="538">
        <v>0.77900000000000003</v>
      </c>
      <c r="I22" s="539">
        <v>1.97</v>
      </c>
      <c r="M22" s="534">
        <f t="shared" si="3"/>
        <v>0.45</v>
      </c>
      <c r="N22" s="534">
        <v>18</v>
      </c>
      <c r="O22" s="534">
        <f t="shared" si="2"/>
        <v>13.103661945975091</v>
      </c>
      <c r="P22" s="534">
        <f t="shared" si="0"/>
        <v>2.0034922987941308</v>
      </c>
      <c r="Q22" s="535">
        <f t="shared" si="1"/>
        <v>5.2576378590249204</v>
      </c>
    </row>
    <row r="23" spans="1:17" x14ac:dyDescent="0.15">
      <c r="A23" s="34">
        <v>2.2999999999999998</v>
      </c>
      <c r="B23" s="534">
        <v>0.501</v>
      </c>
      <c r="C23" s="538">
        <v>0.246</v>
      </c>
      <c r="D23" s="538">
        <v>0.91300000000000003</v>
      </c>
      <c r="E23" s="538">
        <v>1.73</v>
      </c>
      <c r="F23" s="534">
        <v>0.65300000000000002</v>
      </c>
      <c r="G23" s="538">
        <v>0</v>
      </c>
      <c r="H23" s="538">
        <v>0.78900000000000003</v>
      </c>
      <c r="I23" s="539">
        <v>1.966</v>
      </c>
      <c r="M23" s="534">
        <f t="shared" si="3"/>
        <v>0.8</v>
      </c>
      <c r="N23" s="534">
        <v>19</v>
      </c>
      <c r="O23" s="534">
        <f t="shared" si="2"/>
        <v>13.933559962591451</v>
      </c>
      <c r="P23" s="534">
        <f t="shared" si="0"/>
        <v>2.4025139254442744</v>
      </c>
      <c r="Q23" s="535">
        <f t="shared" si="1"/>
        <v>5.797709446547552</v>
      </c>
    </row>
    <row r="24" spans="1:17" x14ac:dyDescent="0.15">
      <c r="A24" s="34">
        <v>2.4</v>
      </c>
      <c r="B24" s="534">
        <v>0.505</v>
      </c>
      <c r="C24" s="538">
        <v>0.246</v>
      </c>
      <c r="D24" s="538">
        <v>0.92500000000000004</v>
      </c>
      <c r="E24" s="538">
        <v>1.728</v>
      </c>
      <c r="F24" s="534">
        <v>0.65600000000000003</v>
      </c>
      <c r="G24" s="538">
        <v>0</v>
      </c>
      <c r="H24" s="538">
        <v>0.79600000000000004</v>
      </c>
      <c r="I24" s="539">
        <v>1.9650000000000001</v>
      </c>
      <c r="M24" s="534">
        <f t="shared" si="3"/>
        <v>1.25</v>
      </c>
      <c r="N24" s="534">
        <v>20</v>
      </c>
      <c r="O24" s="534">
        <f t="shared" si="2"/>
        <v>14.834711777931204</v>
      </c>
      <c r="P24" s="534">
        <f t="shared" si="0"/>
        <v>2.8709084604128883</v>
      </c>
      <c r="Q24" s="535">
        <f t="shared" si="1"/>
        <v>6.3993935210852113</v>
      </c>
    </row>
    <row r="25" spans="1:17" x14ac:dyDescent="0.15">
      <c r="A25" s="34">
        <v>2.5</v>
      </c>
      <c r="B25" s="534">
        <v>0.50800000000000001</v>
      </c>
      <c r="C25" s="538">
        <v>0.246</v>
      </c>
      <c r="D25" s="538">
        <v>0.93300000000000005</v>
      </c>
      <c r="E25" s="538">
        <v>1.728</v>
      </c>
      <c r="F25" s="534">
        <v>0.65700000000000003</v>
      </c>
      <c r="G25" s="538">
        <v>0</v>
      </c>
      <c r="H25" s="538">
        <v>0.80100000000000005</v>
      </c>
      <c r="I25" s="539">
        <v>1.9670000000000001</v>
      </c>
      <c r="M25" s="534">
        <f t="shared" si="3"/>
        <v>1.8</v>
      </c>
      <c r="N25" s="534">
        <v>21</v>
      </c>
      <c r="O25" s="534">
        <f t="shared" si="2"/>
        <v>15.814882898147518</v>
      </c>
      <c r="P25" s="534">
        <f t="shared" si="0"/>
        <v>3.420700144305675</v>
      </c>
      <c r="Q25" s="535">
        <f t="shared" si="1"/>
        <v>7.0707647628954966</v>
      </c>
    </row>
    <row r="26" spans="1:17" x14ac:dyDescent="0.15">
      <c r="A26" s="34">
        <v>2.6</v>
      </c>
      <c r="B26" s="534">
        <v>0.50900000000000001</v>
      </c>
      <c r="C26" s="538">
        <v>0.247</v>
      </c>
      <c r="D26" s="538">
        <v>0.93899999999999995</v>
      </c>
      <c r="E26" s="538">
        <v>1.7290000000000001</v>
      </c>
      <c r="F26" s="534">
        <v>0.65700000000000003</v>
      </c>
      <c r="G26" s="538">
        <v>0</v>
      </c>
      <c r="H26" s="538">
        <v>0.80300000000000005</v>
      </c>
      <c r="I26" s="539">
        <v>1.9710000000000001</v>
      </c>
      <c r="M26" s="534">
        <f t="shared" si="3"/>
        <v>2.4500000000000002</v>
      </c>
      <c r="N26" s="534">
        <v>22</v>
      </c>
      <c r="O26" s="534">
        <f t="shared" si="2"/>
        <v>16.882864615009815</v>
      </c>
      <c r="P26" s="534">
        <f t="shared" si="0"/>
        <v>4.0662036442143528</v>
      </c>
      <c r="Q26" s="535">
        <f t="shared" si="1"/>
        <v>7.8211200716883331</v>
      </c>
    </row>
    <row r="27" spans="1:17" x14ac:dyDescent="0.15">
      <c r="A27" s="34">
        <v>2.7</v>
      </c>
      <c r="B27" s="534">
        <v>0.50900000000000001</v>
      </c>
      <c r="C27" s="538">
        <v>0.247</v>
      </c>
      <c r="D27" s="538">
        <v>0.94199999999999995</v>
      </c>
      <c r="E27" s="538">
        <v>1.732</v>
      </c>
      <c r="F27" s="534">
        <v>0.65600000000000003</v>
      </c>
      <c r="G27" s="538">
        <v>0</v>
      </c>
      <c r="H27" s="538">
        <v>0.80300000000000005</v>
      </c>
      <c r="I27" s="539">
        <v>1.9750000000000001</v>
      </c>
      <c r="M27" s="534">
        <f t="shared" si="3"/>
        <v>3.2</v>
      </c>
      <c r="N27" s="534">
        <v>23</v>
      </c>
      <c r="O27" s="534">
        <f t="shared" si="2"/>
        <v>18.048633611955101</v>
      </c>
      <c r="P27" s="534">
        <f t="shared" si="0"/>
        <v>4.8245090989064749</v>
      </c>
      <c r="Q27" s="535">
        <f t="shared" si="1"/>
        <v>8.6611904352691358</v>
      </c>
    </row>
    <row r="28" spans="1:17" x14ac:dyDescent="0.15">
      <c r="A28" s="34">
        <v>2.8</v>
      </c>
      <c r="B28" s="534">
        <v>0.50700000000000001</v>
      </c>
      <c r="C28" s="538">
        <v>0.248</v>
      </c>
      <c r="D28" s="538">
        <v>0.94399999999999995</v>
      </c>
      <c r="E28" s="538">
        <v>1.734</v>
      </c>
      <c r="F28" s="534">
        <v>0.65500000000000003</v>
      </c>
      <c r="G28" s="538">
        <v>0</v>
      </c>
      <c r="H28" s="538">
        <v>0.80200000000000005</v>
      </c>
      <c r="I28" s="539">
        <v>1.9790000000000001</v>
      </c>
      <c r="M28" s="534">
        <f t="shared" si="3"/>
        <v>4.05</v>
      </c>
      <c r="N28" s="534">
        <v>24</v>
      </c>
      <c r="O28" s="534">
        <f t="shared" si="2"/>
        <v>19.323540226828342</v>
      </c>
      <c r="P28" s="534">
        <f t="shared" si="0"/>
        <v>5.7160815800883773</v>
      </c>
      <c r="Q28" s="535">
        <f t="shared" si="1"/>
        <v>9.6033944106973941</v>
      </c>
    </row>
    <row r="29" spans="1:17" x14ac:dyDescent="0.15">
      <c r="A29" s="34">
        <v>2.9</v>
      </c>
      <c r="B29" s="534">
        <v>0.50600000000000001</v>
      </c>
      <c r="C29" s="538">
        <v>0.248</v>
      </c>
      <c r="D29" s="538">
        <v>0.94299999999999995</v>
      </c>
      <c r="E29" s="538">
        <v>1.7370000000000001</v>
      </c>
      <c r="F29" s="534">
        <v>0.65300000000000002</v>
      </c>
      <c r="G29" s="538">
        <v>0</v>
      </c>
      <c r="H29" s="538">
        <v>0.8</v>
      </c>
      <c r="I29" s="539">
        <v>1.984</v>
      </c>
      <c r="M29" s="534">
        <f t="shared" si="3"/>
        <v>5</v>
      </c>
      <c r="N29" s="534">
        <v>25</v>
      </c>
      <c r="O29" s="534">
        <f t="shared" si="2"/>
        <v>20.720531219083689</v>
      </c>
      <c r="P29" s="534">
        <f t="shared" si="0"/>
        <v>6.7655049356821859</v>
      </c>
      <c r="Q29" s="535">
        <f t="shared" si="1"/>
        <v>10.662142388498452</v>
      </c>
    </row>
    <row r="30" spans="1:17" x14ac:dyDescent="0.15">
      <c r="A30" s="34">
        <v>3</v>
      </c>
      <c r="B30" s="534">
        <v>0.504</v>
      </c>
      <c r="C30" s="538">
        <v>0.249</v>
      </c>
      <c r="D30" s="538">
        <v>0.94299999999999995</v>
      </c>
      <c r="E30" s="538">
        <v>1.74</v>
      </c>
      <c r="F30" s="534">
        <v>0.65200000000000002</v>
      </c>
      <c r="G30" s="538">
        <v>0</v>
      </c>
      <c r="H30" s="538">
        <v>0.79800000000000004</v>
      </c>
      <c r="I30" s="539">
        <v>1.988</v>
      </c>
      <c r="M30" s="534">
        <f t="shared" si="3"/>
        <v>6.05</v>
      </c>
      <c r="N30" s="534">
        <v>26</v>
      </c>
      <c r="O30" s="534">
        <f t="shared" si="2"/>
        <v>22.254414229678286</v>
      </c>
      <c r="P30" s="534">
        <f t="shared" si="0"/>
        <v>8.0024086600671858</v>
      </c>
      <c r="Q30" s="535">
        <f t="shared" si="1"/>
        <v>11.85420305925793</v>
      </c>
    </row>
    <row r="31" spans="1:17" x14ac:dyDescent="0.15">
      <c r="A31" s="34">
        <v>3.1</v>
      </c>
      <c r="B31" s="534">
        <v>0.504</v>
      </c>
      <c r="C31" s="538">
        <v>0.249</v>
      </c>
      <c r="D31" s="538">
        <v>0.94299999999999995</v>
      </c>
      <c r="E31" s="538">
        <v>1.74</v>
      </c>
      <c r="F31" s="534">
        <v>0.65200000000000002</v>
      </c>
      <c r="G31" s="538">
        <v>0</v>
      </c>
      <c r="H31" s="538">
        <v>0.79800000000000004</v>
      </c>
      <c r="I31" s="539">
        <v>1.988</v>
      </c>
      <c r="M31" s="534">
        <f t="shared" si="3"/>
        <v>7.2</v>
      </c>
      <c r="N31" s="534">
        <v>27</v>
      </c>
      <c r="O31" s="534">
        <f t="shared" si="2"/>
        <v>23.942172804316819</v>
      </c>
      <c r="P31" s="534">
        <f t="shared" si="0"/>
        <v>9.4626278837418933</v>
      </c>
      <c r="Q31" s="535">
        <f t="shared" si="1"/>
        <v>13.199146359992817</v>
      </c>
    </row>
    <row r="32" spans="1:17" x14ac:dyDescent="0.15">
      <c r="A32" s="34">
        <v>3.2</v>
      </c>
      <c r="B32" s="534">
        <v>0.501</v>
      </c>
      <c r="C32" s="538">
        <v>0.249</v>
      </c>
      <c r="D32" s="538">
        <v>0.93899999999999995</v>
      </c>
      <c r="E32" s="538">
        <v>1.7450000000000001</v>
      </c>
      <c r="F32" s="534">
        <v>0.64900000000000002</v>
      </c>
      <c r="G32" s="538">
        <v>0</v>
      </c>
      <c r="H32" s="538">
        <v>0.79300000000000004</v>
      </c>
      <c r="I32" s="539">
        <v>1.994</v>
      </c>
      <c r="M32" s="534">
        <f t="shared" si="3"/>
        <v>8.4499999999999993</v>
      </c>
      <c r="N32" s="534">
        <v>28</v>
      </c>
      <c r="O32" s="534">
        <f t="shared" si="2"/>
        <v>25.803342971461227</v>
      </c>
      <c r="P32" s="534">
        <f t="shared" si="0"/>
        <v>11.189661759908578</v>
      </c>
      <c r="Q32" s="535">
        <f t="shared" si="1"/>
        <v>14.719880826321862</v>
      </c>
    </row>
    <row r="33" spans="1:17" x14ac:dyDescent="0.15">
      <c r="A33" s="34">
        <v>3.3</v>
      </c>
      <c r="B33" s="534">
        <v>0.501</v>
      </c>
      <c r="C33" s="538">
        <v>0.249</v>
      </c>
      <c r="D33" s="538">
        <v>0.93899999999999995</v>
      </c>
      <c r="E33" s="538">
        <v>1.7450000000000001</v>
      </c>
      <c r="F33" s="534">
        <v>0.64900000000000002</v>
      </c>
      <c r="G33" s="538">
        <v>0</v>
      </c>
      <c r="H33" s="538">
        <v>0.79300000000000004</v>
      </c>
      <c r="I33" s="539">
        <v>1.994</v>
      </c>
      <c r="M33" s="534">
        <f t="shared" si="3"/>
        <v>9.8000000000000007</v>
      </c>
      <c r="N33" s="534">
        <v>29</v>
      </c>
      <c r="O33" s="534">
        <f t="shared" si="2"/>
        <v>27.860465051779411</v>
      </c>
      <c r="P33" s="534">
        <f t="shared" si="0"/>
        <v>13.236515788096025</v>
      </c>
      <c r="Q33" s="535">
        <f t="shared" si="1"/>
        <v>16.443307955884865</v>
      </c>
    </row>
    <row r="34" spans="1:17" x14ac:dyDescent="0.15">
      <c r="A34" s="34">
        <v>3.4</v>
      </c>
      <c r="B34" s="534">
        <v>0.498</v>
      </c>
      <c r="C34" s="538">
        <v>0.25</v>
      </c>
      <c r="D34" s="538">
        <v>0.94399999999999995</v>
      </c>
      <c r="E34" s="538">
        <v>1.748</v>
      </c>
      <c r="F34" s="534">
        <v>0.64700000000000002</v>
      </c>
      <c r="G34" s="538">
        <v>0</v>
      </c>
      <c r="H34" s="538">
        <v>0.79</v>
      </c>
      <c r="I34" s="539">
        <v>1.998</v>
      </c>
      <c r="M34" s="534">
        <f t="shared" si="3"/>
        <v>11.25</v>
      </c>
      <c r="N34" s="534">
        <v>30</v>
      </c>
      <c r="O34" s="534">
        <f t="shared" si="2"/>
        <v>30.139627791519104</v>
      </c>
      <c r="P34" s="534">
        <f t="shared" si="0"/>
        <v>15.668040821046295</v>
      </c>
      <c r="Q34" s="535">
        <f t="shared" si="1"/>
        <v>18.401122218708679</v>
      </c>
    </row>
    <row r="35" spans="1:17" x14ac:dyDescent="0.15">
      <c r="A35" s="34">
        <v>3.5</v>
      </c>
      <c r="B35" s="534">
        <v>0.498</v>
      </c>
      <c r="C35" s="538">
        <v>0.25</v>
      </c>
      <c r="D35" s="538">
        <v>0.94399999999999995</v>
      </c>
      <c r="E35" s="538">
        <v>1.748</v>
      </c>
      <c r="F35" s="534">
        <v>0.64700000000000002</v>
      </c>
      <c r="G35" s="538">
        <v>0</v>
      </c>
      <c r="H35" s="538">
        <v>0.79</v>
      </c>
      <c r="I35" s="539">
        <v>1.998</v>
      </c>
      <c r="M35" s="534">
        <f t="shared" si="3"/>
        <v>12.8</v>
      </c>
      <c r="N35" s="534">
        <v>31</v>
      </c>
      <c r="O35" s="534">
        <f t="shared" si="2"/>
        <v>32.671126278359431</v>
      </c>
      <c r="P35" s="534">
        <f t="shared" si="0"/>
        <v>18.563918267831117</v>
      </c>
      <c r="Q35" s="535">
        <f t="shared" si="1"/>
        <v>20.630793159942641</v>
      </c>
    </row>
    <row r="36" spans="1:17" x14ac:dyDescent="0.15">
      <c r="A36" s="34">
        <v>3.6</v>
      </c>
      <c r="B36" s="534">
        <v>0.496</v>
      </c>
      <c r="C36" s="538">
        <v>0.25</v>
      </c>
      <c r="D36" s="538">
        <v>0.93200000000000005</v>
      </c>
      <c r="E36" s="538">
        <v>1.75</v>
      </c>
      <c r="F36" s="534">
        <v>0.64500000000000002</v>
      </c>
      <c r="G36" s="538">
        <v>0</v>
      </c>
      <c r="H36" s="538">
        <v>0.78700000000000003</v>
      </c>
      <c r="I36" s="539">
        <v>2.0009999999999999</v>
      </c>
      <c r="M36" s="534">
        <f t="shared" si="3"/>
        <v>14.45</v>
      </c>
      <c r="N36" s="534">
        <v>32</v>
      </c>
      <c r="O36" s="534">
        <f t="shared" si="2"/>
        <v>35.490260706898347</v>
      </c>
      <c r="P36" s="534">
        <f t="shared" si="0"/>
        <v>22.022491032313749</v>
      </c>
      <c r="Q36" s="535">
        <f t="shared" si="1"/>
        <v>23.17677620701264</v>
      </c>
    </row>
    <row r="37" spans="1:17" x14ac:dyDescent="0.15">
      <c r="A37" s="34">
        <v>3.7</v>
      </c>
      <c r="B37" s="534">
        <v>0.496</v>
      </c>
      <c r="C37" s="538">
        <v>0.25</v>
      </c>
      <c r="D37" s="538">
        <v>0.93200000000000005</v>
      </c>
      <c r="E37" s="538">
        <v>1.75</v>
      </c>
      <c r="F37" s="534">
        <v>0.64500000000000002</v>
      </c>
      <c r="G37" s="538">
        <v>0</v>
      </c>
      <c r="H37" s="538">
        <v>0.78700000000000003</v>
      </c>
      <c r="I37" s="539">
        <v>2.0009999999999999</v>
      </c>
      <c r="M37" s="534">
        <f t="shared" si="3"/>
        <v>16.2</v>
      </c>
      <c r="N37" s="534">
        <v>33</v>
      </c>
      <c r="O37" s="534">
        <f t="shared" si="2"/>
        <v>38.638310303168105</v>
      </c>
      <c r="P37" s="534">
        <f t="shared" si="0"/>
        <v>26.165708280980038</v>
      </c>
      <c r="Q37" s="535">
        <f t="shared" si="1"/>
        <v>26.092012099198968</v>
      </c>
    </row>
    <row r="38" spans="1:17" x14ac:dyDescent="0.15">
      <c r="A38" s="34">
        <v>3.8</v>
      </c>
      <c r="B38" s="534">
        <v>0.495</v>
      </c>
      <c r="C38" s="538">
        <v>0.25</v>
      </c>
      <c r="D38" s="538">
        <v>0.93</v>
      </c>
      <c r="E38" s="538">
        <v>1.7509999999999999</v>
      </c>
      <c r="F38" s="534">
        <v>0.64500000000000002</v>
      </c>
      <c r="G38" s="538">
        <v>0</v>
      </c>
      <c r="H38" s="538">
        <v>0.78600000000000003</v>
      </c>
      <c r="I38" s="539">
        <v>2.0009999999999999</v>
      </c>
      <c r="M38" s="534">
        <f t="shared" si="3"/>
        <v>18.05</v>
      </c>
      <c r="N38" s="534">
        <v>34</v>
      </c>
      <c r="O38" s="534">
        <f t="shared" si="2"/>
        <v>42.163726119839886</v>
      </c>
      <c r="P38" s="534">
        <f t="shared" si="0"/>
        <v>31.145546787859882</v>
      </c>
      <c r="Q38" s="535">
        <f t="shared" si="1"/>
        <v>29.439792369643481</v>
      </c>
    </row>
    <row r="39" spans="1:17" x14ac:dyDescent="0.15">
      <c r="A39" s="34">
        <v>3.9</v>
      </c>
      <c r="B39" s="534">
        <v>0.495</v>
      </c>
      <c r="C39" s="538">
        <v>0.25</v>
      </c>
      <c r="D39" s="538">
        <v>0.93</v>
      </c>
      <c r="E39" s="538">
        <v>1.7509999999999999</v>
      </c>
      <c r="F39" s="534">
        <v>0.64500000000000002</v>
      </c>
      <c r="G39" s="538">
        <v>0</v>
      </c>
      <c r="H39" s="538">
        <v>0.78600000000000003</v>
      </c>
      <c r="I39" s="539">
        <v>2.0009999999999999</v>
      </c>
      <c r="M39" s="534">
        <f t="shared" si="3"/>
        <v>20</v>
      </c>
      <c r="N39" s="534">
        <v>35</v>
      </c>
      <c r="O39" s="534">
        <f t="shared" si="2"/>
        <v>46.12359868902066</v>
      </c>
      <c r="P39" s="534">
        <f t="shared" si="0"/>
        <v>37.15240332843932</v>
      </c>
      <c r="Q39" s="535">
        <f t="shared" si="1"/>
        <v>33.296091491411751</v>
      </c>
    </row>
    <row r="40" spans="1:17" x14ac:dyDescent="0.15">
      <c r="A40" s="34">
        <v>4</v>
      </c>
      <c r="B40" s="534">
        <v>0.495</v>
      </c>
      <c r="C40" s="538">
        <v>0.25</v>
      </c>
      <c r="D40" s="538">
        <v>0.92800000000000005</v>
      </c>
      <c r="E40" s="538">
        <v>1.7509999999999999</v>
      </c>
      <c r="F40" s="534">
        <v>0.64400000000000002</v>
      </c>
      <c r="G40" s="538">
        <v>0</v>
      </c>
      <c r="H40" s="538">
        <v>0.78500000000000003</v>
      </c>
      <c r="I40" s="539">
        <v>2.0019999999999998</v>
      </c>
      <c r="M40" s="534">
        <f t="shared" si="3"/>
        <v>22.05</v>
      </c>
      <c r="N40" s="534">
        <v>36</v>
      </c>
      <c r="O40" s="534">
        <f t="shared" si="2"/>
        <v>50.585472639551469</v>
      </c>
      <c r="P40" s="534">
        <f t="shared" si="0"/>
        <v>44.426137439826263</v>
      </c>
      <c r="Q40" s="535">
        <f t="shared" si="1"/>
        <v>37.752497171885743</v>
      </c>
    </row>
    <row r="41" spans="1:17" x14ac:dyDescent="0.15">
      <c r="A41" s="34">
        <v>4.0999999999999996</v>
      </c>
      <c r="B41" s="534">
        <v>0.495</v>
      </c>
      <c r="C41" s="538">
        <v>0.25</v>
      </c>
      <c r="D41" s="538">
        <v>0.92800000000000005</v>
      </c>
      <c r="E41" s="538">
        <v>1.7509999999999999</v>
      </c>
      <c r="F41" s="534">
        <v>0.64400000000000002</v>
      </c>
      <c r="G41" s="538">
        <v>0</v>
      </c>
      <c r="H41" s="538">
        <v>0.78500000000000003</v>
      </c>
      <c r="I41" s="539">
        <v>2.0019999999999998</v>
      </c>
      <c r="M41" s="534">
        <f t="shared" si="3"/>
        <v>24.2</v>
      </c>
      <c r="N41" s="534">
        <v>37</v>
      </c>
      <c r="O41" s="534">
        <f t="shared" si="2"/>
        <v>55.629601684001209</v>
      </c>
      <c r="P41" s="534">
        <f t="shared" si="0"/>
        <v>53.270705544047146</v>
      </c>
      <c r="Q41" s="535">
        <f t="shared" si="1"/>
        <v>42.919911654584332</v>
      </c>
    </row>
    <row r="42" spans="1:17" x14ac:dyDescent="0.15">
      <c r="A42" s="34">
        <v>4.2</v>
      </c>
      <c r="B42" s="534">
        <v>0.495</v>
      </c>
      <c r="C42" s="538">
        <v>0.25</v>
      </c>
      <c r="D42" s="538">
        <v>0.92800000000000005</v>
      </c>
      <c r="E42" s="538">
        <v>1.7509999999999999</v>
      </c>
      <c r="F42" s="534">
        <v>0.64400000000000002</v>
      </c>
      <c r="G42" s="538">
        <v>0</v>
      </c>
      <c r="H42" s="538">
        <v>0.78500000000000003</v>
      </c>
      <c r="I42" s="539">
        <v>2.0009999999999999</v>
      </c>
      <c r="M42" s="534">
        <f t="shared" si="3"/>
        <v>26.45</v>
      </c>
      <c r="N42" s="534">
        <v>38</v>
      </c>
      <c r="O42" s="534">
        <f t="shared" si="2"/>
        <v>61.351765699797163</v>
      </c>
      <c r="P42" s="534">
        <f t="shared" si="0"/>
        <v>64.073701345429413</v>
      </c>
      <c r="Q42" s="535">
        <f t="shared" si="1"/>
        <v>48.933252702059363</v>
      </c>
    </row>
    <row r="43" spans="1:17" x14ac:dyDescent="0.15">
      <c r="A43" s="34">
        <v>4.3</v>
      </c>
      <c r="B43" s="534">
        <v>0.495</v>
      </c>
      <c r="C43" s="538">
        <v>0.25</v>
      </c>
      <c r="D43" s="538">
        <v>0.92800000000000005</v>
      </c>
      <c r="E43" s="538">
        <v>1.7509999999999999</v>
      </c>
      <c r="F43" s="534">
        <v>0.64400000000000002</v>
      </c>
      <c r="G43" s="538">
        <v>0</v>
      </c>
      <c r="H43" s="538">
        <v>0.78500000000000003</v>
      </c>
      <c r="I43" s="539">
        <v>2.0009999999999999</v>
      </c>
      <c r="M43" s="534">
        <f t="shared" si="3"/>
        <v>28.8</v>
      </c>
      <c r="N43" s="534">
        <v>39</v>
      </c>
      <c r="O43" s="534">
        <f t="shared" si="2"/>
        <v>67.866809533955291</v>
      </c>
      <c r="P43" s="534">
        <f t="shared" si="0"/>
        <v>77.33265699637424</v>
      </c>
      <c r="Q43" s="535">
        <f t="shared" si="1"/>
        <v>55.957458744483688</v>
      </c>
    </row>
    <row r="44" spans="1:17" x14ac:dyDescent="0.15">
      <c r="A44" s="34">
        <v>4.4000000000000004</v>
      </c>
      <c r="B44" s="534">
        <v>0.495</v>
      </c>
      <c r="C44" s="538">
        <v>0.25</v>
      </c>
      <c r="D44" s="538">
        <v>0.92700000000000005</v>
      </c>
      <c r="E44" s="538">
        <v>1.7509999999999999</v>
      </c>
      <c r="F44" s="534">
        <v>0.64400000000000002</v>
      </c>
      <c r="G44" s="538">
        <v>0</v>
      </c>
      <c r="H44" s="538">
        <v>0.78500000000000003</v>
      </c>
      <c r="I44" s="539">
        <v>2.0009999999999999</v>
      </c>
      <c r="M44" s="540">
        <f t="shared" si="3"/>
        <v>31.25</v>
      </c>
      <c r="N44" s="540">
        <v>40</v>
      </c>
      <c r="O44" s="540">
        <f t="shared" si="2"/>
        <v>75.313114248782526</v>
      </c>
      <c r="P44" s="540">
        <f t="shared" si="0"/>
        <v>93.690746389387584</v>
      </c>
      <c r="Q44" s="541">
        <f t="shared" si="1"/>
        <v>64.195206388965758</v>
      </c>
    </row>
    <row r="45" spans="1:17" x14ac:dyDescent="0.15">
      <c r="A45" s="34">
        <v>4.5</v>
      </c>
      <c r="B45" s="534">
        <v>0.495</v>
      </c>
      <c r="C45" s="538">
        <v>0.25</v>
      </c>
      <c r="D45" s="538">
        <v>0.92700000000000005</v>
      </c>
      <c r="E45" s="538">
        <v>1.7509999999999999</v>
      </c>
      <c r="F45" s="534">
        <v>0.64400000000000002</v>
      </c>
      <c r="G45" s="538">
        <v>0</v>
      </c>
      <c r="H45" s="538">
        <v>0.78500000000000003</v>
      </c>
      <c r="I45" s="539">
        <v>2.0009999999999999</v>
      </c>
    </row>
    <row r="46" spans="1:17" x14ac:dyDescent="0.15">
      <c r="A46" s="34">
        <v>4.5999999999999996</v>
      </c>
      <c r="B46" s="534">
        <v>0.495</v>
      </c>
      <c r="C46" s="538">
        <v>0.25</v>
      </c>
      <c r="D46" s="538">
        <v>0.92700000000000005</v>
      </c>
      <c r="E46" s="538">
        <v>1.75</v>
      </c>
      <c r="F46" s="534">
        <v>0.64500000000000002</v>
      </c>
      <c r="G46" s="538">
        <v>0</v>
      </c>
      <c r="H46" s="538">
        <v>0.78500000000000003</v>
      </c>
      <c r="I46" s="539">
        <v>2</v>
      </c>
    </row>
    <row r="47" spans="1:17" x14ac:dyDescent="0.15">
      <c r="A47" s="34">
        <v>4.7</v>
      </c>
      <c r="B47" s="534">
        <v>0.495</v>
      </c>
      <c r="C47" s="538">
        <v>0.25</v>
      </c>
      <c r="D47" s="538">
        <v>0.92700000000000005</v>
      </c>
      <c r="E47" s="538">
        <v>1.75</v>
      </c>
      <c r="F47" s="534">
        <v>0.64500000000000002</v>
      </c>
      <c r="G47" s="538">
        <v>0</v>
      </c>
      <c r="H47" s="538">
        <v>0.78500000000000003</v>
      </c>
      <c r="I47" s="539">
        <v>2</v>
      </c>
    </row>
    <row r="48" spans="1:17" x14ac:dyDescent="0.15">
      <c r="A48" s="34">
        <v>4.8</v>
      </c>
      <c r="B48" s="534">
        <v>0.495</v>
      </c>
      <c r="C48" s="538">
        <v>0.25</v>
      </c>
      <c r="D48" s="538">
        <v>0.92800000000000005</v>
      </c>
      <c r="E48" s="538">
        <v>1.75</v>
      </c>
      <c r="F48" s="534">
        <v>0.64500000000000002</v>
      </c>
      <c r="G48" s="538">
        <v>0</v>
      </c>
      <c r="H48" s="538">
        <v>0.78500000000000003</v>
      </c>
      <c r="I48" s="539">
        <v>2</v>
      </c>
    </row>
    <row r="49" spans="1:9" x14ac:dyDescent="0.15">
      <c r="A49" s="34">
        <v>4.9000000000000004</v>
      </c>
      <c r="B49" s="534">
        <v>0.495</v>
      </c>
      <c r="C49" s="538">
        <v>0.25</v>
      </c>
      <c r="D49" s="538">
        <v>0.92800000000000005</v>
      </c>
      <c r="E49" s="538">
        <v>1.75</v>
      </c>
      <c r="F49" s="534">
        <v>0.64500000000000002</v>
      </c>
      <c r="G49" s="538">
        <v>0</v>
      </c>
      <c r="H49" s="538">
        <v>0.78500000000000003</v>
      </c>
      <c r="I49" s="539">
        <v>2</v>
      </c>
    </row>
    <row r="50" spans="1:9" x14ac:dyDescent="0.15">
      <c r="A50" s="36">
        <v>5</v>
      </c>
      <c r="B50" s="540">
        <v>0.495</v>
      </c>
      <c r="C50" s="542">
        <v>0.25</v>
      </c>
      <c r="D50" s="542">
        <v>0.92800000000000005</v>
      </c>
      <c r="E50" s="542">
        <v>1.75</v>
      </c>
      <c r="F50" s="540">
        <v>0.64500000000000002</v>
      </c>
      <c r="G50" s="542">
        <v>0</v>
      </c>
      <c r="H50" s="542">
        <v>0.78500000000000003</v>
      </c>
      <c r="I50" s="543">
        <v>2</v>
      </c>
    </row>
  </sheetData>
  <phoneticPr fontId="1"/>
  <pageMargins left="0.75" right="0.75" top="1" bottom="1" header="0.51200000000000001" footer="0.5120000000000000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H18:R43"/>
  <sheetViews>
    <sheetView topLeftCell="A10" workbookViewId="0">
      <selection activeCell="P44" sqref="P44"/>
    </sheetView>
  </sheetViews>
  <sheetFormatPr defaultRowHeight="13.5" x14ac:dyDescent="0.15"/>
  <sheetData>
    <row r="18" spans="8:18" x14ac:dyDescent="0.15">
      <c r="H18" s="32">
        <v>0.35</v>
      </c>
      <c r="I18" s="32">
        <v>0.6</v>
      </c>
      <c r="J18" s="32">
        <f>+H18*I18*24</f>
        <v>5.04</v>
      </c>
      <c r="K18" s="32">
        <v>7.5</v>
      </c>
      <c r="L18" s="32">
        <f>+J18*K18</f>
        <v>37.799999999999997</v>
      </c>
      <c r="N18" s="32">
        <v>1</v>
      </c>
      <c r="O18" s="32">
        <v>1</v>
      </c>
      <c r="P18" s="32">
        <f t="shared" ref="P18:P42" si="0">+I18+0.08+0.25</f>
        <v>0.92999999999999994</v>
      </c>
      <c r="Q18" s="32">
        <f t="shared" ref="Q18:Q42" si="1">+N18*O18*P18*20</f>
        <v>18.599999999999998</v>
      </c>
      <c r="R18" s="32">
        <f t="shared" ref="R18:R42" si="2">+M18-Q18</f>
        <v>-18.599999999999998</v>
      </c>
    </row>
    <row r="19" spans="8:18" x14ac:dyDescent="0.15">
      <c r="H19" s="32">
        <v>0.4</v>
      </c>
      <c r="I19" s="32">
        <v>0.6</v>
      </c>
      <c r="J19" s="32">
        <f>+H19*I19*24</f>
        <v>5.76</v>
      </c>
      <c r="K19" s="32">
        <v>7.5</v>
      </c>
      <c r="L19" s="32">
        <f>+J19*K19</f>
        <v>43.199999999999996</v>
      </c>
      <c r="M19" s="32">
        <f t="shared" ref="M19:M37" si="3">+L$18-L19</f>
        <v>-5.3999999999999986</v>
      </c>
      <c r="N19" s="32">
        <v>1</v>
      </c>
      <c r="O19" s="32">
        <v>1</v>
      </c>
      <c r="P19" s="32">
        <f t="shared" si="0"/>
        <v>0.92999999999999994</v>
      </c>
      <c r="Q19" s="32">
        <f t="shared" si="1"/>
        <v>18.599999999999998</v>
      </c>
      <c r="R19" s="32">
        <f t="shared" si="2"/>
        <v>-23.999999999999996</v>
      </c>
    </row>
    <row r="20" spans="8:18" x14ac:dyDescent="0.15">
      <c r="H20" s="32">
        <v>0.45</v>
      </c>
      <c r="I20" s="32">
        <v>0.6</v>
      </c>
      <c r="J20" s="32">
        <f>+H20*I20*24</f>
        <v>6.48</v>
      </c>
      <c r="K20" s="32">
        <v>7.5</v>
      </c>
      <c r="L20" s="32">
        <f>+J20*K20</f>
        <v>48.6</v>
      </c>
      <c r="M20" s="32">
        <f t="shared" si="3"/>
        <v>-10.800000000000004</v>
      </c>
      <c r="N20" s="32">
        <v>1</v>
      </c>
      <c r="O20" s="32">
        <v>1</v>
      </c>
      <c r="P20" s="32">
        <f t="shared" si="0"/>
        <v>0.92999999999999994</v>
      </c>
      <c r="Q20" s="32">
        <f t="shared" si="1"/>
        <v>18.599999999999998</v>
      </c>
      <c r="R20" s="32">
        <f t="shared" si="2"/>
        <v>-29.400000000000002</v>
      </c>
    </row>
    <row r="21" spans="8:18" x14ac:dyDescent="0.15">
      <c r="H21" s="32">
        <v>0.5</v>
      </c>
      <c r="I21" s="32">
        <v>0.6</v>
      </c>
      <c r="J21" s="32">
        <f>+H21*I21*24</f>
        <v>7.1999999999999993</v>
      </c>
      <c r="K21" s="32">
        <v>7.5</v>
      </c>
      <c r="L21" s="32">
        <f>+J21*K21</f>
        <v>53.999999999999993</v>
      </c>
      <c r="M21" s="32">
        <f t="shared" si="3"/>
        <v>-16.199999999999996</v>
      </c>
      <c r="N21" s="32">
        <v>1</v>
      </c>
      <c r="O21" s="32">
        <v>1</v>
      </c>
      <c r="P21" s="32">
        <f t="shared" si="0"/>
        <v>0.92999999999999994</v>
      </c>
      <c r="Q21" s="32">
        <f t="shared" si="1"/>
        <v>18.599999999999998</v>
      </c>
      <c r="R21" s="32">
        <f t="shared" si="2"/>
        <v>-34.799999999999997</v>
      </c>
    </row>
    <row r="22" spans="8:18" x14ac:dyDescent="0.15">
      <c r="K22" s="32">
        <v>7.5</v>
      </c>
      <c r="M22" s="32">
        <f t="shared" si="3"/>
        <v>37.799999999999997</v>
      </c>
      <c r="N22" s="32">
        <v>1</v>
      </c>
      <c r="O22" s="32">
        <v>1</v>
      </c>
      <c r="P22" s="32">
        <f t="shared" si="0"/>
        <v>0.33</v>
      </c>
      <c r="Q22" s="32">
        <f t="shared" si="1"/>
        <v>6.6000000000000005</v>
      </c>
      <c r="R22" s="32">
        <f t="shared" si="2"/>
        <v>31.199999999999996</v>
      </c>
    </row>
    <row r="23" spans="8:18" x14ac:dyDescent="0.15">
      <c r="H23" s="32">
        <v>0.35</v>
      </c>
      <c r="I23" s="32">
        <v>0.65</v>
      </c>
      <c r="J23" s="32">
        <f>+H23*I23*24</f>
        <v>5.4599999999999991</v>
      </c>
      <c r="K23" s="32">
        <v>7.5</v>
      </c>
      <c r="L23" s="32">
        <f>+J23*K23</f>
        <v>40.949999999999996</v>
      </c>
      <c r="M23" s="32">
        <f t="shared" si="3"/>
        <v>-3.1499999999999986</v>
      </c>
      <c r="N23" s="32">
        <v>1</v>
      </c>
      <c r="O23" s="32">
        <v>1</v>
      </c>
      <c r="P23" s="32">
        <f t="shared" si="0"/>
        <v>0.98</v>
      </c>
      <c r="Q23" s="32">
        <f t="shared" si="1"/>
        <v>19.600000000000001</v>
      </c>
      <c r="R23" s="32">
        <f t="shared" si="2"/>
        <v>-22.75</v>
      </c>
    </row>
    <row r="24" spans="8:18" x14ac:dyDescent="0.15">
      <c r="H24" s="32">
        <v>0.4</v>
      </c>
      <c r="I24" s="32">
        <v>0.65</v>
      </c>
      <c r="J24" s="32">
        <f>+H24*I24*24</f>
        <v>6.24</v>
      </c>
      <c r="K24" s="32">
        <v>7.5</v>
      </c>
      <c r="L24" s="32">
        <f>+J24*K24</f>
        <v>46.800000000000004</v>
      </c>
      <c r="M24" s="32">
        <f t="shared" si="3"/>
        <v>-9.0000000000000071</v>
      </c>
      <c r="N24" s="32">
        <v>1</v>
      </c>
      <c r="O24" s="32">
        <v>1</v>
      </c>
      <c r="P24" s="32">
        <f t="shared" si="0"/>
        <v>0.98</v>
      </c>
      <c r="Q24" s="32">
        <f t="shared" si="1"/>
        <v>19.600000000000001</v>
      </c>
      <c r="R24" s="32">
        <f t="shared" si="2"/>
        <v>-28.600000000000009</v>
      </c>
    </row>
    <row r="25" spans="8:18" x14ac:dyDescent="0.15">
      <c r="H25" s="32">
        <v>0.45</v>
      </c>
      <c r="I25" s="32">
        <v>0.65</v>
      </c>
      <c r="J25" s="32">
        <f>+H25*I25*24</f>
        <v>7.0200000000000014</v>
      </c>
      <c r="K25" s="32">
        <v>7.5</v>
      </c>
      <c r="L25" s="32">
        <f>+J25*K25</f>
        <v>52.650000000000013</v>
      </c>
      <c r="M25" s="32">
        <f t="shared" si="3"/>
        <v>-14.850000000000016</v>
      </c>
      <c r="N25" s="32">
        <v>1</v>
      </c>
      <c r="O25" s="32">
        <v>1</v>
      </c>
      <c r="P25" s="32">
        <f t="shared" si="0"/>
        <v>0.98</v>
      </c>
      <c r="Q25" s="32">
        <f t="shared" si="1"/>
        <v>19.600000000000001</v>
      </c>
      <c r="R25" s="32">
        <f t="shared" si="2"/>
        <v>-34.450000000000017</v>
      </c>
    </row>
    <row r="26" spans="8:18" x14ac:dyDescent="0.15">
      <c r="H26" s="32">
        <v>0.5</v>
      </c>
      <c r="I26" s="32">
        <v>0.65</v>
      </c>
      <c r="J26" s="32">
        <f>+H26*I26*24</f>
        <v>7.8000000000000007</v>
      </c>
      <c r="K26" s="32">
        <v>7.5</v>
      </c>
      <c r="L26" s="32">
        <f>+J26*K26</f>
        <v>58.500000000000007</v>
      </c>
      <c r="M26" s="32">
        <f t="shared" si="3"/>
        <v>-20.70000000000001</v>
      </c>
      <c r="N26" s="32">
        <v>1</v>
      </c>
      <c r="O26" s="32">
        <v>1</v>
      </c>
      <c r="P26" s="32">
        <f t="shared" si="0"/>
        <v>0.98</v>
      </c>
      <c r="Q26" s="32">
        <f t="shared" si="1"/>
        <v>19.600000000000001</v>
      </c>
      <c r="R26" s="32">
        <f t="shared" si="2"/>
        <v>-40.300000000000011</v>
      </c>
    </row>
    <row r="27" spans="8:18" x14ac:dyDescent="0.15">
      <c r="K27" s="32">
        <v>7.5</v>
      </c>
      <c r="M27" s="32">
        <f t="shared" si="3"/>
        <v>37.799999999999997</v>
      </c>
      <c r="N27" s="32">
        <v>1</v>
      </c>
      <c r="O27" s="32">
        <v>1</v>
      </c>
      <c r="P27" s="32">
        <f t="shared" si="0"/>
        <v>0.33</v>
      </c>
      <c r="Q27" s="32">
        <f t="shared" si="1"/>
        <v>6.6000000000000005</v>
      </c>
      <c r="R27" s="32">
        <f t="shared" si="2"/>
        <v>31.199999999999996</v>
      </c>
    </row>
    <row r="28" spans="8:18" x14ac:dyDescent="0.15">
      <c r="H28" s="32">
        <v>0.35</v>
      </c>
      <c r="I28" s="32">
        <v>0.7</v>
      </c>
      <c r="J28" s="32">
        <f>+H28*I28*24</f>
        <v>5.879999999999999</v>
      </c>
      <c r="K28" s="32">
        <v>7.5</v>
      </c>
      <c r="L28" s="32">
        <f>+J28*K28</f>
        <v>44.099999999999994</v>
      </c>
      <c r="M28" s="32">
        <f t="shared" si="3"/>
        <v>-6.2999999999999972</v>
      </c>
      <c r="N28" s="32">
        <v>1</v>
      </c>
      <c r="O28" s="32">
        <v>1</v>
      </c>
      <c r="P28" s="32">
        <f t="shared" si="0"/>
        <v>1.0299999999999998</v>
      </c>
      <c r="Q28" s="32">
        <f t="shared" si="1"/>
        <v>20.599999999999994</v>
      </c>
      <c r="R28" s="32">
        <f t="shared" si="2"/>
        <v>-26.899999999999991</v>
      </c>
    </row>
    <row r="29" spans="8:18" x14ac:dyDescent="0.15">
      <c r="H29" s="32">
        <v>0.4</v>
      </c>
      <c r="I29" s="32">
        <v>0.7</v>
      </c>
      <c r="J29" s="32">
        <f>+H29*I29*24</f>
        <v>6.7199999999999989</v>
      </c>
      <c r="K29" s="32">
        <v>7.5</v>
      </c>
      <c r="L29" s="32">
        <f>+J29*K29</f>
        <v>50.399999999999991</v>
      </c>
      <c r="M29" s="32">
        <f t="shared" si="3"/>
        <v>-12.599999999999994</v>
      </c>
      <c r="N29" s="32">
        <v>1</v>
      </c>
      <c r="O29" s="32">
        <v>1</v>
      </c>
      <c r="P29" s="32">
        <f t="shared" si="0"/>
        <v>1.0299999999999998</v>
      </c>
      <c r="Q29" s="32">
        <f t="shared" si="1"/>
        <v>20.599999999999994</v>
      </c>
      <c r="R29" s="32">
        <f t="shared" si="2"/>
        <v>-33.199999999999989</v>
      </c>
    </row>
    <row r="30" spans="8:18" x14ac:dyDescent="0.15">
      <c r="H30" s="32">
        <v>0.45</v>
      </c>
      <c r="I30" s="32">
        <v>0.7</v>
      </c>
      <c r="J30" s="32">
        <f>+H30*I30*24</f>
        <v>7.5600000000000005</v>
      </c>
      <c r="K30" s="32">
        <v>7.5</v>
      </c>
      <c r="L30" s="32">
        <f>+J30*K30</f>
        <v>56.7</v>
      </c>
      <c r="M30" s="32">
        <f t="shared" si="3"/>
        <v>-18.900000000000006</v>
      </c>
      <c r="N30" s="32">
        <v>1</v>
      </c>
      <c r="O30" s="32">
        <v>1</v>
      </c>
      <c r="P30" s="32">
        <f t="shared" si="0"/>
        <v>1.0299999999999998</v>
      </c>
      <c r="Q30" s="32">
        <f t="shared" si="1"/>
        <v>20.599999999999994</v>
      </c>
      <c r="R30" s="32">
        <f t="shared" si="2"/>
        <v>-39.5</v>
      </c>
    </row>
    <row r="31" spans="8:18" x14ac:dyDescent="0.15">
      <c r="H31" s="32">
        <v>0.5</v>
      </c>
      <c r="I31" s="32">
        <v>0.7</v>
      </c>
      <c r="J31" s="32">
        <f>+H31*I31*24</f>
        <v>8.3999999999999986</v>
      </c>
      <c r="K31" s="32">
        <v>7.5</v>
      </c>
      <c r="L31" s="32">
        <f>+J31*K31</f>
        <v>62.999999999999986</v>
      </c>
      <c r="M31" s="32">
        <f t="shared" si="3"/>
        <v>-25.199999999999989</v>
      </c>
      <c r="N31" s="32">
        <v>1</v>
      </c>
      <c r="O31" s="32">
        <v>1</v>
      </c>
      <c r="P31" s="32">
        <f t="shared" si="0"/>
        <v>1.0299999999999998</v>
      </c>
      <c r="Q31" s="32">
        <f t="shared" si="1"/>
        <v>20.599999999999994</v>
      </c>
      <c r="R31" s="32">
        <f t="shared" si="2"/>
        <v>-45.799999999999983</v>
      </c>
    </row>
    <row r="32" spans="8:18" x14ac:dyDescent="0.15">
      <c r="M32" s="32">
        <f t="shared" si="3"/>
        <v>37.799999999999997</v>
      </c>
      <c r="N32" s="32">
        <v>1</v>
      </c>
      <c r="O32" s="32">
        <v>1</v>
      </c>
      <c r="P32" s="32">
        <f t="shared" si="0"/>
        <v>0.33</v>
      </c>
      <c r="Q32" s="32">
        <f t="shared" si="1"/>
        <v>6.6000000000000005</v>
      </c>
      <c r="R32" s="32">
        <f t="shared" si="2"/>
        <v>31.199999999999996</v>
      </c>
    </row>
    <row r="33" spans="8:18" x14ac:dyDescent="0.15">
      <c r="M33" s="32">
        <f t="shared" si="3"/>
        <v>37.799999999999997</v>
      </c>
      <c r="N33" s="32">
        <v>1</v>
      </c>
      <c r="O33" s="32">
        <v>1</v>
      </c>
      <c r="P33" s="32">
        <f t="shared" si="0"/>
        <v>0.33</v>
      </c>
      <c r="Q33" s="32">
        <f t="shared" si="1"/>
        <v>6.6000000000000005</v>
      </c>
      <c r="R33" s="32">
        <f t="shared" si="2"/>
        <v>31.199999999999996</v>
      </c>
    </row>
    <row r="34" spans="8:18" x14ac:dyDescent="0.15">
      <c r="H34" s="32">
        <v>0.35</v>
      </c>
      <c r="I34" s="32">
        <v>0.75</v>
      </c>
      <c r="J34" s="32">
        <f>+H34*I34*24</f>
        <v>6.2999999999999989</v>
      </c>
      <c r="K34" s="32">
        <v>7.5</v>
      </c>
      <c r="L34" s="32">
        <f>+J34*K34</f>
        <v>47.249999999999993</v>
      </c>
      <c r="M34" s="32">
        <f t="shared" si="3"/>
        <v>-9.4499999999999957</v>
      </c>
      <c r="N34" s="32">
        <v>1</v>
      </c>
      <c r="O34" s="32">
        <v>1</v>
      </c>
      <c r="P34" s="32">
        <f t="shared" si="0"/>
        <v>1.08</v>
      </c>
      <c r="Q34" s="32">
        <f t="shared" si="1"/>
        <v>21.6</v>
      </c>
      <c r="R34" s="32">
        <f t="shared" si="2"/>
        <v>-31.049999999999997</v>
      </c>
    </row>
    <row r="35" spans="8:18" x14ac:dyDescent="0.15">
      <c r="H35" s="32">
        <v>0.4</v>
      </c>
      <c r="I35" s="32">
        <v>0.75</v>
      </c>
      <c r="J35" s="32">
        <f>+H35*I35*24</f>
        <v>7.2000000000000011</v>
      </c>
      <c r="K35" s="32">
        <v>7.5</v>
      </c>
      <c r="L35" s="32">
        <f>+J35*K35</f>
        <v>54.000000000000007</v>
      </c>
      <c r="M35" s="32">
        <f t="shared" si="3"/>
        <v>-16.20000000000001</v>
      </c>
      <c r="N35" s="32">
        <v>1</v>
      </c>
      <c r="O35" s="32">
        <v>1</v>
      </c>
      <c r="P35" s="32">
        <f t="shared" si="0"/>
        <v>1.08</v>
      </c>
      <c r="Q35" s="32">
        <f t="shared" si="1"/>
        <v>21.6</v>
      </c>
      <c r="R35" s="32">
        <f t="shared" si="2"/>
        <v>-37.800000000000011</v>
      </c>
    </row>
    <row r="36" spans="8:18" x14ac:dyDescent="0.15">
      <c r="H36" s="32">
        <v>0.45</v>
      </c>
      <c r="I36" s="32">
        <v>0.75</v>
      </c>
      <c r="J36" s="32">
        <f>+H36*I36*24</f>
        <v>8.1000000000000014</v>
      </c>
      <c r="K36" s="32">
        <v>7.5</v>
      </c>
      <c r="L36" s="32">
        <f>+J36*K36</f>
        <v>60.750000000000014</v>
      </c>
      <c r="M36" s="32">
        <f t="shared" si="3"/>
        <v>-22.950000000000017</v>
      </c>
      <c r="N36" s="32">
        <v>1</v>
      </c>
      <c r="O36" s="32">
        <v>1</v>
      </c>
      <c r="P36" s="32">
        <f t="shared" si="0"/>
        <v>1.08</v>
      </c>
      <c r="Q36" s="32">
        <f t="shared" si="1"/>
        <v>21.6</v>
      </c>
      <c r="R36" s="32">
        <f t="shared" si="2"/>
        <v>-44.550000000000018</v>
      </c>
    </row>
    <row r="37" spans="8:18" x14ac:dyDescent="0.15">
      <c r="H37" s="32">
        <v>0.5</v>
      </c>
      <c r="I37" s="32">
        <v>0.75</v>
      </c>
      <c r="J37" s="32">
        <f>+H37*I37*24</f>
        <v>9</v>
      </c>
      <c r="K37" s="32">
        <v>7.5</v>
      </c>
      <c r="L37" s="32">
        <f>+J37*K37</f>
        <v>67.5</v>
      </c>
      <c r="M37" s="32">
        <f t="shared" si="3"/>
        <v>-29.700000000000003</v>
      </c>
      <c r="N37" s="32">
        <v>1</v>
      </c>
      <c r="O37" s="32">
        <v>1</v>
      </c>
      <c r="P37" s="32">
        <f t="shared" si="0"/>
        <v>1.08</v>
      </c>
      <c r="Q37" s="32">
        <f t="shared" si="1"/>
        <v>21.6</v>
      </c>
      <c r="R37" s="32">
        <f t="shared" si="2"/>
        <v>-51.300000000000004</v>
      </c>
    </row>
    <row r="38" spans="8:18" x14ac:dyDescent="0.15">
      <c r="N38" s="32">
        <v>1</v>
      </c>
      <c r="O38" s="32">
        <v>1</v>
      </c>
      <c r="P38" s="32">
        <f t="shared" si="0"/>
        <v>0.33</v>
      </c>
      <c r="Q38" s="32">
        <f t="shared" si="1"/>
        <v>6.6000000000000005</v>
      </c>
      <c r="R38" s="32">
        <f t="shared" si="2"/>
        <v>-6.6000000000000005</v>
      </c>
    </row>
    <row r="39" spans="8:18" x14ac:dyDescent="0.15">
      <c r="H39" s="32">
        <v>0.35</v>
      </c>
      <c r="I39" s="32">
        <v>0.8</v>
      </c>
      <c r="J39" s="32">
        <f>+H39*I39*24</f>
        <v>6.7199999999999989</v>
      </c>
      <c r="K39" s="32">
        <v>7.5</v>
      </c>
      <c r="L39" s="32">
        <f>+J39*K39</f>
        <v>50.399999999999991</v>
      </c>
      <c r="M39" s="32">
        <f>+L$18-L39</f>
        <v>-12.599999999999994</v>
      </c>
      <c r="N39" s="32">
        <v>1</v>
      </c>
      <c r="O39" s="32">
        <v>1</v>
      </c>
      <c r="P39" s="32">
        <f t="shared" si="0"/>
        <v>1.1299999999999999</v>
      </c>
      <c r="Q39" s="32">
        <f t="shared" si="1"/>
        <v>22.599999999999998</v>
      </c>
      <c r="R39" s="32">
        <f t="shared" si="2"/>
        <v>-35.199999999999989</v>
      </c>
    </row>
    <row r="40" spans="8:18" x14ac:dyDescent="0.15">
      <c r="H40" s="32">
        <v>0.4</v>
      </c>
      <c r="I40" s="32">
        <v>0.8</v>
      </c>
      <c r="J40" s="32">
        <f>+H40*I40*24</f>
        <v>7.6800000000000015</v>
      </c>
      <c r="K40" s="32">
        <v>7.5</v>
      </c>
      <c r="L40" s="32">
        <f>+J40*K40</f>
        <v>57.600000000000009</v>
      </c>
      <c r="M40" s="32">
        <f>+L$18-L40</f>
        <v>-19.800000000000011</v>
      </c>
      <c r="N40" s="32">
        <v>1</v>
      </c>
      <c r="O40" s="32">
        <v>1</v>
      </c>
      <c r="P40" s="32">
        <f t="shared" si="0"/>
        <v>1.1299999999999999</v>
      </c>
      <c r="Q40" s="32">
        <f t="shared" si="1"/>
        <v>22.599999999999998</v>
      </c>
      <c r="R40" s="32">
        <f t="shared" si="2"/>
        <v>-42.400000000000006</v>
      </c>
    </row>
    <row r="41" spans="8:18" x14ac:dyDescent="0.15">
      <c r="H41" s="32">
        <v>0.45</v>
      </c>
      <c r="I41" s="32">
        <v>0.8</v>
      </c>
      <c r="J41" s="32">
        <f>+H41*I41*24</f>
        <v>8.64</v>
      </c>
      <c r="K41" s="32">
        <v>7.5</v>
      </c>
      <c r="L41" s="32">
        <f>+J41*K41</f>
        <v>64.800000000000011</v>
      </c>
      <c r="M41" s="32">
        <f>+L$18-L41</f>
        <v>-27.000000000000014</v>
      </c>
      <c r="N41" s="32">
        <v>1</v>
      </c>
      <c r="O41" s="32">
        <v>1</v>
      </c>
      <c r="P41" s="32">
        <f t="shared" si="0"/>
        <v>1.1299999999999999</v>
      </c>
      <c r="Q41" s="32">
        <f t="shared" si="1"/>
        <v>22.599999999999998</v>
      </c>
      <c r="R41" s="32">
        <f t="shared" si="2"/>
        <v>-49.600000000000009</v>
      </c>
    </row>
    <row r="42" spans="8:18" x14ac:dyDescent="0.15">
      <c r="H42" s="32">
        <v>0.5</v>
      </c>
      <c r="I42" s="32">
        <v>0.8</v>
      </c>
      <c r="J42" s="32">
        <f>+H42*I42*24</f>
        <v>9.6000000000000014</v>
      </c>
      <c r="K42" s="32">
        <v>7.5</v>
      </c>
      <c r="L42" s="32">
        <f>+J42*K42</f>
        <v>72.000000000000014</v>
      </c>
      <c r="M42" s="32">
        <f>+L$18-L42</f>
        <v>-34.200000000000017</v>
      </c>
      <c r="N42" s="32">
        <v>1</v>
      </c>
      <c r="O42" s="32">
        <v>1</v>
      </c>
      <c r="P42" s="32">
        <f t="shared" si="0"/>
        <v>1.1299999999999999</v>
      </c>
      <c r="Q42" s="32">
        <f t="shared" si="1"/>
        <v>22.599999999999998</v>
      </c>
      <c r="R42" s="32">
        <f t="shared" si="2"/>
        <v>-56.800000000000011</v>
      </c>
    </row>
    <row r="43" spans="8:18" x14ac:dyDescent="0.15">
      <c r="N43" s="32">
        <v>0.6</v>
      </c>
      <c r="O43" s="32">
        <v>0.6</v>
      </c>
      <c r="P43" s="32">
        <v>0.65</v>
      </c>
      <c r="Q43" s="32">
        <f>+N43*O43*P43*24</f>
        <v>5.6159999999999997</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U45"/>
  <sheetViews>
    <sheetView topLeftCell="A7" workbookViewId="0">
      <selection activeCell="Q26" sqref="Q26"/>
    </sheetView>
  </sheetViews>
  <sheetFormatPr defaultRowHeight="13.5" x14ac:dyDescent="0.15"/>
  <sheetData>
    <row r="3" spans="2:21" x14ac:dyDescent="0.15">
      <c r="B3" s="32" t="s">
        <v>422</v>
      </c>
      <c r="C3" s="32">
        <v>448.3</v>
      </c>
    </row>
    <row r="8" spans="2:21" x14ac:dyDescent="0.15">
      <c r="E8" s="32" t="s">
        <v>423</v>
      </c>
      <c r="F8" s="32" t="s">
        <v>424</v>
      </c>
      <c r="H8" s="32" t="s">
        <v>425</v>
      </c>
      <c r="I8" s="32" t="s">
        <v>426</v>
      </c>
      <c r="J8" s="32" t="s">
        <v>50</v>
      </c>
    </row>
    <row r="9" spans="2:21" x14ac:dyDescent="0.15">
      <c r="E9" s="32">
        <v>1.7</v>
      </c>
      <c r="F9" s="32">
        <v>0.3</v>
      </c>
      <c r="G9" s="32">
        <f>1+E9*F9/(1-1.3*F9)</f>
        <v>1.8360655737704918</v>
      </c>
      <c r="H9" s="32">
        <v>0.8</v>
      </c>
      <c r="I9" s="32">
        <v>0.3</v>
      </c>
      <c r="J9" s="32">
        <v>2</v>
      </c>
      <c r="K9" s="32">
        <f>1-H9*I9/(J9^0.5)</f>
        <v>0.83029437251522864</v>
      </c>
      <c r="L9" s="32">
        <f>+G9/K9</f>
        <v>2.2113429098747939</v>
      </c>
    </row>
    <row r="13" spans="2:21" x14ac:dyDescent="0.15">
      <c r="C13" s="32" t="s">
        <v>427</v>
      </c>
      <c r="D13" s="32" t="s">
        <v>428</v>
      </c>
      <c r="H13" s="32" t="s">
        <v>429</v>
      </c>
      <c r="I13" s="32" t="s">
        <v>430</v>
      </c>
      <c r="L13" s="32" t="s">
        <v>427</v>
      </c>
    </row>
    <row r="14" spans="2:21" x14ac:dyDescent="0.15">
      <c r="C14" s="32" t="s">
        <v>30</v>
      </c>
      <c r="D14" s="32" t="s">
        <v>219</v>
      </c>
      <c r="H14" s="32" t="s">
        <v>431</v>
      </c>
      <c r="I14" s="32" t="s">
        <v>432</v>
      </c>
      <c r="L14" s="32" t="s">
        <v>423</v>
      </c>
      <c r="M14" s="32" t="s">
        <v>433</v>
      </c>
    </row>
    <row r="15" spans="2:21" x14ac:dyDescent="0.15">
      <c r="C15" s="32" t="s">
        <v>434</v>
      </c>
      <c r="D15" s="32" t="s">
        <v>435</v>
      </c>
      <c r="L15" s="32" t="s">
        <v>436</v>
      </c>
      <c r="M15" s="32" t="s">
        <v>437</v>
      </c>
    </row>
    <row r="16" spans="2:21" x14ac:dyDescent="0.15">
      <c r="C16" s="32" t="s">
        <v>438</v>
      </c>
      <c r="D16" s="32" t="s">
        <v>439</v>
      </c>
      <c r="L16" s="32" t="s">
        <v>440</v>
      </c>
      <c r="M16" s="32" t="s">
        <v>441</v>
      </c>
      <c r="T16" s="32">
        <v>8</v>
      </c>
      <c r="U16" s="32">
        <v>9</v>
      </c>
    </row>
    <row r="17" spans="3:21" x14ac:dyDescent="0.15">
      <c r="T17" s="32">
        <v>1.4</v>
      </c>
      <c r="U17" s="32">
        <v>1.3</v>
      </c>
    </row>
    <row r="18" spans="3:21" x14ac:dyDescent="0.15">
      <c r="C18" s="32" t="s">
        <v>442</v>
      </c>
      <c r="L18" s="32" t="s">
        <v>442</v>
      </c>
    </row>
    <row r="19" spans="3:21" x14ac:dyDescent="0.15">
      <c r="L19" s="32" t="s">
        <v>443</v>
      </c>
    </row>
    <row r="22" spans="3:21" x14ac:dyDescent="0.15">
      <c r="L22" s="155" t="s">
        <v>444</v>
      </c>
      <c r="M22" s="32">
        <v>1</v>
      </c>
      <c r="N22" s="32">
        <v>2</v>
      </c>
      <c r="O22" s="32">
        <v>3</v>
      </c>
      <c r="P22" s="32">
        <v>4</v>
      </c>
      <c r="Q22" s="32">
        <v>5</v>
      </c>
      <c r="R22" s="32">
        <v>6</v>
      </c>
      <c r="S22" s="32">
        <v>7</v>
      </c>
    </row>
    <row r="23" spans="3:21" x14ac:dyDescent="0.15">
      <c r="L23" s="155" t="s">
        <v>445</v>
      </c>
      <c r="M23" s="32">
        <v>1.9</v>
      </c>
      <c r="N23" s="32">
        <v>1.7</v>
      </c>
      <c r="O23" s="32">
        <v>1.6</v>
      </c>
      <c r="P23" s="32">
        <v>1.5</v>
      </c>
      <c r="Q23" s="32">
        <v>1.5</v>
      </c>
      <c r="R23" s="32">
        <v>1.5</v>
      </c>
      <c r="S23" s="32">
        <v>1.4</v>
      </c>
    </row>
    <row r="25" spans="3:21" x14ac:dyDescent="0.15">
      <c r="K25" s="32" t="s">
        <v>423</v>
      </c>
      <c r="L25" s="32" t="s">
        <v>30</v>
      </c>
      <c r="M25" s="32" t="s">
        <v>440</v>
      </c>
      <c r="N25" s="32" t="s">
        <v>446</v>
      </c>
      <c r="O25" s="32" t="s">
        <v>447</v>
      </c>
      <c r="P25" s="32" t="s">
        <v>438</v>
      </c>
      <c r="Q25" s="32" t="s">
        <v>448</v>
      </c>
      <c r="R25" s="32" t="s">
        <v>449</v>
      </c>
    </row>
    <row r="26" spans="3:21" x14ac:dyDescent="0.15">
      <c r="K26" s="32">
        <v>1.7</v>
      </c>
      <c r="L26" s="32">
        <v>800</v>
      </c>
      <c r="M26" s="32">
        <v>0.3</v>
      </c>
      <c r="N26" s="32">
        <f>+L26*M26</f>
        <v>240</v>
      </c>
      <c r="O26" s="32">
        <f>1-1.3*M26</f>
        <v>0.61</v>
      </c>
      <c r="P26" s="156">
        <f>N26/O26</f>
        <v>393.44262295081967</v>
      </c>
      <c r="Q26" s="156">
        <f>+K26*P26</f>
        <v>668.85245901639337</v>
      </c>
      <c r="R26" s="156">
        <f>+Q26+L26</f>
        <v>1468.8524590163934</v>
      </c>
    </row>
    <row r="27" spans="3:21" x14ac:dyDescent="0.15">
      <c r="C27" s="32" t="s">
        <v>450</v>
      </c>
    </row>
    <row r="29" spans="3:21" x14ac:dyDescent="0.15">
      <c r="C29" s="32" t="s">
        <v>451</v>
      </c>
      <c r="D29" s="32" t="s">
        <v>452</v>
      </c>
    </row>
    <row r="31" spans="3:21" x14ac:dyDescent="0.15">
      <c r="C31" s="32" t="s">
        <v>453</v>
      </c>
    </row>
    <row r="33" spans="3:20" x14ac:dyDescent="0.15">
      <c r="C33" s="32" t="s">
        <v>454</v>
      </c>
      <c r="D33" s="32" t="s">
        <v>455</v>
      </c>
    </row>
    <row r="34" spans="3:20" x14ac:dyDescent="0.15">
      <c r="C34" s="32" t="s">
        <v>456</v>
      </c>
      <c r="D34" s="32" t="s">
        <v>441</v>
      </c>
    </row>
    <row r="35" spans="3:20" x14ac:dyDescent="0.15">
      <c r="C35" s="32" t="s">
        <v>425</v>
      </c>
      <c r="D35" s="32" t="s">
        <v>457</v>
      </c>
    </row>
    <row r="36" spans="3:20" x14ac:dyDescent="0.15">
      <c r="N36" s="32">
        <v>2.4</v>
      </c>
    </row>
    <row r="37" spans="3:20" x14ac:dyDescent="0.15">
      <c r="C37" s="32" t="s">
        <v>458</v>
      </c>
      <c r="K37" s="32" t="s">
        <v>423</v>
      </c>
      <c r="L37" s="32" t="s">
        <v>440</v>
      </c>
      <c r="N37" s="32" t="s">
        <v>459</v>
      </c>
      <c r="O37" s="32" t="s">
        <v>460</v>
      </c>
      <c r="P37" s="32" t="s">
        <v>425</v>
      </c>
      <c r="Q37" s="32" t="s">
        <v>456</v>
      </c>
      <c r="R37" s="32" t="s">
        <v>50</v>
      </c>
    </row>
    <row r="38" spans="3:20" x14ac:dyDescent="0.15">
      <c r="C38" s="32" t="s">
        <v>461</v>
      </c>
      <c r="K38" s="32">
        <v>1.7</v>
      </c>
      <c r="L38" s="32">
        <v>0.3</v>
      </c>
      <c r="M38" s="32">
        <f>1+K38*L38/(1-1.3*L38)</f>
        <v>1.8360655737704918</v>
      </c>
      <c r="N38" s="32">
        <f>N36^-1</f>
        <v>0.41666666666666669</v>
      </c>
      <c r="O38" s="32">
        <v>0.8</v>
      </c>
      <c r="P38" s="32">
        <f>+N38*O38</f>
        <v>0.33333333333333337</v>
      </c>
      <c r="Q38" s="32">
        <v>0.8</v>
      </c>
      <c r="R38" s="32">
        <v>2</v>
      </c>
      <c r="S38" s="32">
        <f>1-P38*Q38/R38^0.5</f>
        <v>0.81143819168358733</v>
      </c>
      <c r="T38" s="32">
        <f>+M38/S38</f>
        <v>2.2627300422734455</v>
      </c>
    </row>
    <row r="39" spans="3:20" x14ac:dyDescent="0.15">
      <c r="C39" s="32" t="s">
        <v>462</v>
      </c>
    </row>
    <row r="42" spans="3:20" x14ac:dyDescent="0.15">
      <c r="C42" s="32" t="s">
        <v>431</v>
      </c>
      <c r="D42" s="32" t="s">
        <v>432</v>
      </c>
    </row>
    <row r="43" spans="3:20" x14ac:dyDescent="0.15">
      <c r="C43" s="32" t="s">
        <v>463</v>
      </c>
      <c r="D43" s="32" t="s">
        <v>464</v>
      </c>
    </row>
    <row r="44" spans="3:20" x14ac:dyDescent="0.15">
      <c r="C44" s="32" t="s">
        <v>463</v>
      </c>
      <c r="D44" s="32" t="s">
        <v>465</v>
      </c>
    </row>
    <row r="45" spans="3:20" x14ac:dyDescent="0.15">
      <c r="D45" s="32" t="s">
        <v>466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6"/>
  <sheetViews>
    <sheetView view="pageBreakPreview" zoomScaleNormal="85" zoomScaleSheetLayoutView="100" workbookViewId="0">
      <selection activeCell="N20" sqref="N20"/>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bestFit="1" customWidth="1"/>
    <col min="8" max="10" width="9" style="39" customWidth="1"/>
    <col min="11" max="11" width="10" style="39" customWidth="1"/>
    <col min="12" max="13" width="10.375" style="39" customWidth="1"/>
    <col min="14" max="19" width="11.75" style="39" customWidth="1"/>
    <col min="20" max="28" width="5.875" style="39" customWidth="1"/>
    <col min="29" max="29" width="7.5" style="39" bestFit="1" customWidth="1"/>
    <col min="30" max="30" width="7" style="39" customWidth="1"/>
    <col min="31" max="31" width="3.875" style="39" customWidth="1"/>
    <col min="32" max="32" width="4.75" style="39" customWidth="1"/>
    <col min="33" max="33" width="3.875" style="39" customWidth="1"/>
    <col min="34" max="34" width="7.125" style="39" bestFit="1" customWidth="1"/>
    <col min="35" max="36" width="3.875" style="39" customWidth="1"/>
    <col min="37" max="37" width="5.5" style="39" customWidth="1"/>
    <col min="38" max="38" width="4.875" style="39" customWidth="1"/>
    <col min="39" max="49" width="3.875" style="39" customWidth="1"/>
    <col min="50" max="76" width="9" style="39" customWidth="1"/>
    <col min="77" max="16384" width="9" style="39"/>
  </cols>
  <sheetData>
    <row r="1" spans="1:19" x14ac:dyDescent="0.15">
      <c r="A1" s="27" t="s">
        <v>232</v>
      </c>
      <c r="K1" s="39" t="s">
        <v>233</v>
      </c>
    </row>
    <row r="3" spans="1:19" x14ac:dyDescent="0.15">
      <c r="A3" s="39" t="s">
        <v>234</v>
      </c>
      <c r="K3" s="566" t="s">
        <v>5</v>
      </c>
      <c r="L3" s="567"/>
      <c r="M3" s="40"/>
      <c r="N3" s="96" t="str">
        <f>鉛直!O6</f>
        <v>F1</v>
      </c>
      <c r="O3" s="107" t="str">
        <f>鉛直!P6</f>
        <v>F2</v>
      </c>
      <c r="P3" s="107" t="s">
        <v>8</v>
      </c>
      <c r="Q3" s="107" t="s">
        <v>9</v>
      </c>
      <c r="R3" s="107" t="s">
        <v>235</v>
      </c>
      <c r="S3" s="108"/>
    </row>
    <row r="4" spans="1:19" x14ac:dyDescent="0.15">
      <c r="B4" s="39" t="s">
        <v>236</v>
      </c>
      <c r="J4" s="29" t="s">
        <v>237</v>
      </c>
      <c r="K4" s="565" t="s">
        <v>10</v>
      </c>
      <c r="L4" s="555"/>
      <c r="M4" s="48"/>
      <c r="N4" s="97" t="str">
        <f>鉛直!O7</f>
        <v>C-D</v>
      </c>
      <c r="O4" s="109" t="str">
        <f>鉛直!P7</f>
        <v>2-B</v>
      </c>
      <c r="P4" s="109" t="str">
        <f>鉛直!Q7</f>
        <v>6-C</v>
      </c>
      <c r="Q4" s="109" t="str">
        <f>鉛直!R7</f>
        <v>5-C</v>
      </c>
      <c r="R4" s="109" t="str">
        <f>鉛直!S7</f>
        <v>5-B</v>
      </c>
      <c r="S4" s="110"/>
    </row>
    <row r="5" spans="1:19" x14ac:dyDescent="0.15">
      <c r="K5" s="568" t="s">
        <v>238</v>
      </c>
      <c r="L5" s="8" t="s">
        <v>239</v>
      </c>
      <c r="M5" s="45" t="s">
        <v>20</v>
      </c>
      <c r="N5" s="301">
        <f>鉛直!O16</f>
        <v>1</v>
      </c>
      <c r="O5" s="302">
        <f>鉛直!P16</f>
        <v>1</v>
      </c>
      <c r="P5" s="302">
        <f>鉛直!Q16</f>
        <v>1</v>
      </c>
      <c r="Q5" s="302">
        <f>鉛直!R16</f>
        <v>2</v>
      </c>
      <c r="R5" s="302">
        <f>鉛直!S16</f>
        <v>1</v>
      </c>
      <c r="S5" s="303"/>
    </row>
    <row r="6" spans="1:19" x14ac:dyDescent="0.15">
      <c r="B6" s="39" t="s">
        <v>240</v>
      </c>
      <c r="D6" s="39" t="s">
        <v>237</v>
      </c>
      <c r="K6" s="549"/>
      <c r="L6" s="9" t="s">
        <v>241</v>
      </c>
      <c r="M6" s="46" t="s">
        <v>20</v>
      </c>
      <c r="N6" s="304">
        <f>鉛直!O17</f>
        <v>1</v>
      </c>
      <c r="O6" s="305">
        <f>鉛直!P17</f>
        <v>2</v>
      </c>
      <c r="P6" s="305">
        <f>鉛直!Q17</f>
        <v>3</v>
      </c>
      <c r="Q6" s="305">
        <f>鉛直!R17</f>
        <v>3</v>
      </c>
      <c r="R6" s="305">
        <f>鉛直!S17</f>
        <v>3</v>
      </c>
      <c r="S6" s="306"/>
    </row>
    <row r="7" spans="1:19" x14ac:dyDescent="0.15">
      <c r="B7" s="27" t="s">
        <v>242</v>
      </c>
      <c r="D7" s="39">
        <f>0.2*F8</f>
        <v>0.18000000000000002</v>
      </c>
      <c r="F7" s="27" t="s">
        <v>243</v>
      </c>
      <c r="K7" s="549"/>
      <c r="L7" s="9" t="s">
        <v>244</v>
      </c>
      <c r="M7" s="46" t="s">
        <v>20</v>
      </c>
      <c r="N7" s="307">
        <v>0.98</v>
      </c>
      <c r="O7" s="308">
        <v>0.98</v>
      </c>
      <c r="P7" s="308">
        <v>0.98</v>
      </c>
      <c r="Q7" s="308">
        <v>0.98</v>
      </c>
      <c r="R7" s="308">
        <v>0.98</v>
      </c>
      <c r="S7" s="309"/>
    </row>
    <row r="8" spans="1:19" x14ac:dyDescent="0.15">
      <c r="B8" s="27" t="s">
        <v>245</v>
      </c>
      <c r="D8" s="39">
        <f>0.1*F8</f>
        <v>9.0000000000000011E-2</v>
      </c>
      <c r="F8" s="28">
        <v>0.9</v>
      </c>
      <c r="K8" s="549"/>
      <c r="L8" s="9" t="s">
        <v>246</v>
      </c>
      <c r="M8" s="46" t="s">
        <v>126</v>
      </c>
      <c r="N8" s="310">
        <v>149</v>
      </c>
      <c r="O8" s="311">
        <v>291</v>
      </c>
      <c r="P8" s="311">
        <v>381</v>
      </c>
      <c r="Q8" s="311">
        <v>569</v>
      </c>
      <c r="R8" s="311">
        <v>360</v>
      </c>
      <c r="S8" s="312"/>
    </row>
    <row r="9" spans="1:19" x14ac:dyDescent="0.15">
      <c r="B9" s="39" t="s">
        <v>247</v>
      </c>
      <c r="D9" s="39" t="s">
        <v>237</v>
      </c>
      <c r="K9" s="549"/>
      <c r="L9" s="9" t="s">
        <v>248</v>
      </c>
      <c r="M9" s="46" t="s">
        <v>126</v>
      </c>
      <c r="N9" s="310">
        <f>173-149</f>
        <v>24</v>
      </c>
      <c r="O9" s="311">
        <f>313-291</f>
        <v>22</v>
      </c>
      <c r="P9" s="311">
        <f>451-318</f>
        <v>133</v>
      </c>
      <c r="Q9" s="311">
        <f>608-569</f>
        <v>39</v>
      </c>
      <c r="R9" s="311">
        <f>400-360</f>
        <v>40</v>
      </c>
      <c r="S9" s="312"/>
    </row>
    <row r="10" spans="1:19" x14ac:dyDescent="0.15">
      <c r="B10" s="39" t="s">
        <v>249</v>
      </c>
      <c r="K10" s="549"/>
      <c r="L10" s="9" t="s">
        <v>250</v>
      </c>
      <c r="M10" s="46" t="s">
        <v>126</v>
      </c>
      <c r="N10" s="304">
        <f>SUM(N8:N9)</f>
        <v>173</v>
      </c>
      <c r="O10" s="305">
        <f>SUM(O8:O9)</f>
        <v>313</v>
      </c>
      <c r="P10" s="305">
        <f>SUM(P8:P9)</f>
        <v>514</v>
      </c>
      <c r="Q10" s="305">
        <f>SUM(Q8:Q9)</f>
        <v>608</v>
      </c>
      <c r="R10" s="305">
        <f>SUM(R8:R9)</f>
        <v>400</v>
      </c>
      <c r="S10" s="306"/>
    </row>
    <row r="11" spans="1:19" x14ac:dyDescent="0.15">
      <c r="K11" s="549"/>
      <c r="L11" s="9" t="s">
        <v>251</v>
      </c>
      <c r="M11" s="46" t="s">
        <v>126</v>
      </c>
      <c r="N11" s="304">
        <f>ROUNDDOWN(N5*N6*N7*20,1)</f>
        <v>19.600000000000001</v>
      </c>
      <c r="O11" s="305">
        <f>ROUNDDOWN(O5*O6*O7*20,1)</f>
        <v>39.200000000000003</v>
      </c>
      <c r="P11" s="305">
        <f>ROUNDDOWN(P5*P6*P7*20,1)</f>
        <v>58.8</v>
      </c>
      <c r="Q11" s="305">
        <f>ROUNDDOWN(Q5*Q6*Q7*20,1)</f>
        <v>117.6</v>
      </c>
      <c r="R11" s="305">
        <f>ROUNDDOWN(R5*R6*R7*20,1)</f>
        <v>58.8</v>
      </c>
      <c r="S11" s="306"/>
    </row>
    <row r="12" spans="1:19" x14ac:dyDescent="0.15">
      <c r="A12" s="39" t="s">
        <v>252</v>
      </c>
      <c r="K12" s="549"/>
      <c r="L12" s="9" t="s">
        <v>62</v>
      </c>
      <c r="M12" s="47" t="s">
        <v>63</v>
      </c>
      <c r="N12" s="304">
        <f>鉛直!O18</f>
        <v>1</v>
      </c>
      <c r="O12" s="305">
        <f>鉛直!P18</f>
        <v>2</v>
      </c>
      <c r="P12" s="305">
        <f>鉛直!Q18</f>
        <v>3</v>
      </c>
      <c r="Q12" s="305">
        <f>鉛直!R18</f>
        <v>6</v>
      </c>
      <c r="R12" s="305">
        <f>鉛直!S18</f>
        <v>3</v>
      </c>
      <c r="S12" s="306"/>
    </row>
    <row r="13" spans="1:19" x14ac:dyDescent="0.15">
      <c r="B13" s="39" t="s">
        <v>253</v>
      </c>
      <c r="K13" s="549"/>
      <c r="L13" s="9" t="s">
        <v>254</v>
      </c>
      <c r="M13" s="49"/>
      <c r="N13" s="304">
        <f>$F$8</f>
        <v>0.9</v>
      </c>
      <c r="O13" s="305">
        <f>$F$8</f>
        <v>0.9</v>
      </c>
      <c r="P13" s="305">
        <f>$F$8</f>
        <v>0.9</v>
      </c>
      <c r="Q13" s="305">
        <f>$F$8</f>
        <v>0.9</v>
      </c>
      <c r="R13" s="305">
        <f>$F$8</f>
        <v>0.9</v>
      </c>
      <c r="S13" s="306"/>
    </row>
    <row r="14" spans="1:19" x14ac:dyDescent="0.15">
      <c r="C14" s="39" t="s">
        <v>255</v>
      </c>
      <c r="K14" s="545"/>
      <c r="L14" s="10" t="s">
        <v>256</v>
      </c>
      <c r="M14" s="50" t="s">
        <v>257</v>
      </c>
      <c r="N14" s="313">
        <f>ROUNDDOWN((N10*0.2+N11*0.1)*N13/N12,2)</f>
        <v>32.9</v>
      </c>
      <c r="O14" s="314">
        <f>ROUNDDOWN((O10*0.2+O11*0.1)*O13/O12,2)</f>
        <v>29.93</v>
      </c>
      <c r="P14" s="314">
        <f>ROUNDDOWN((P10*0.2+P11*0.1)*P13/P12,2)</f>
        <v>32.6</v>
      </c>
      <c r="Q14" s="314">
        <f>ROUNDDOWN((Q10*0.2+Q11*0.1)*Q13/Q12,2)</f>
        <v>20</v>
      </c>
      <c r="R14" s="314">
        <f>ROUNDDOWN((R10*0.2+R11*0.1)*R13/R12,2)</f>
        <v>25.76</v>
      </c>
      <c r="S14" s="315"/>
    </row>
    <row r="15" spans="1:19" x14ac:dyDescent="0.15">
      <c r="C15" s="39" t="s">
        <v>258</v>
      </c>
      <c r="K15" s="568" t="s">
        <v>259</v>
      </c>
      <c r="L15" s="8" t="s">
        <v>108</v>
      </c>
      <c r="M15" s="52"/>
      <c r="N15" s="301">
        <v>4</v>
      </c>
      <c r="O15" s="302">
        <v>4</v>
      </c>
      <c r="P15" s="302">
        <v>4</v>
      </c>
      <c r="Q15" s="302">
        <v>4</v>
      </c>
      <c r="R15" s="302">
        <v>4</v>
      </c>
      <c r="S15" s="303"/>
    </row>
    <row r="16" spans="1:19" x14ac:dyDescent="0.15">
      <c r="C16" s="39" t="s">
        <v>260</v>
      </c>
      <c r="E16" s="39" t="s">
        <v>261</v>
      </c>
      <c r="K16" s="549"/>
      <c r="L16" s="53" t="s">
        <v>262</v>
      </c>
      <c r="M16" s="49"/>
      <c r="N16" s="316">
        <v>2</v>
      </c>
      <c r="O16" s="317">
        <v>2</v>
      </c>
      <c r="P16" s="317">
        <v>2</v>
      </c>
      <c r="Q16" s="317">
        <v>2</v>
      </c>
      <c r="R16" s="317">
        <v>2</v>
      </c>
      <c r="S16" s="312"/>
    </row>
    <row r="17" spans="1:19" x14ac:dyDescent="0.15">
      <c r="K17" s="549"/>
      <c r="L17" s="9" t="s">
        <v>263</v>
      </c>
      <c r="M17" s="46" t="s">
        <v>31</v>
      </c>
      <c r="N17" s="304">
        <f>7*N16*100</f>
        <v>1400</v>
      </c>
      <c r="O17" s="305">
        <f>7*O16*100</f>
        <v>1400</v>
      </c>
      <c r="P17" s="305">
        <f>7*P16*100</f>
        <v>1400</v>
      </c>
      <c r="Q17" s="305">
        <f>7*Q16*100</f>
        <v>1400</v>
      </c>
      <c r="R17" s="305">
        <f>7*R16*100</f>
        <v>1400</v>
      </c>
      <c r="S17" s="306"/>
    </row>
    <row r="18" spans="1:19" x14ac:dyDescent="0.15">
      <c r="A18" s="39" t="s">
        <v>264</v>
      </c>
      <c r="K18" s="549"/>
      <c r="L18" s="9" t="s">
        <v>265</v>
      </c>
      <c r="M18" s="46" t="s">
        <v>20</v>
      </c>
      <c r="N18" s="304">
        <f>鉛直!O8</f>
        <v>1</v>
      </c>
      <c r="O18" s="305">
        <f>鉛直!P8</f>
        <v>1</v>
      </c>
      <c r="P18" s="305">
        <f>鉛直!Q8</f>
        <v>1</v>
      </c>
      <c r="Q18" s="305">
        <f>鉛直!R8</f>
        <v>1</v>
      </c>
      <c r="R18" s="305">
        <f>鉛直!S8</f>
        <v>1</v>
      </c>
      <c r="S18" s="306"/>
    </row>
    <row r="19" spans="1:19" x14ac:dyDescent="0.15">
      <c r="B19" s="27" t="s">
        <v>266</v>
      </c>
      <c r="K19" s="545"/>
      <c r="L19" s="10" t="s">
        <v>267</v>
      </c>
      <c r="M19" s="51"/>
      <c r="N19" s="313">
        <f>ROUNDDOWN((1/30)*N15*N17*(N18*100/30)^(-3/4)*10^2,3)</f>
        <v>7566.72</v>
      </c>
      <c r="O19" s="314">
        <f>ROUNDDOWN((1/30)*O15*O17*(O18*100/30)^(-3/4)*10^2,3)</f>
        <v>7566.72</v>
      </c>
      <c r="P19" s="314">
        <f>ROUNDDOWN((1/30)*P15*P17*(P18*100/30)^(-3/4)*10^2,3)</f>
        <v>7566.72</v>
      </c>
      <c r="Q19" s="314">
        <f>ROUNDDOWN((1/30)*Q15*Q17*(Q18*100/30)^(-3/4)*10^2,3)</f>
        <v>7566.72</v>
      </c>
      <c r="R19" s="314">
        <f>ROUNDDOWN((1/30)*R15*R17*(R18*100/30)^(-3/4)*10^2,3)</f>
        <v>7566.72</v>
      </c>
      <c r="S19" s="315"/>
    </row>
    <row r="20" spans="1:19" x14ac:dyDescent="0.15">
      <c r="B20" s="39" t="s">
        <v>268</v>
      </c>
      <c r="K20" s="568" t="s">
        <v>269</v>
      </c>
      <c r="L20" s="8" t="s">
        <v>19</v>
      </c>
      <c r="M20" s="45" t="s">
        <v>20</v>
      </c>
      <c r="N20" s="318">
        <v>1</v>
      </c>
      <c r="O20" s="319">
        <v>1</v>
      </c>
      <c r="P20" s="319">
        <v>1</v>
      </c>
      <c r="Q20" s="319">
        <v>1</v>
      </c>
      <c r="R20" s="319">
        <v>1</v>
      </c>
      <c r="S20" s="320"/>
    </row>
    <row r="21" spans="1:19" x14ac:dyDescent="0.15">
      <c r="C21" s="39" t="s">
        <v>270</v>
      </c>
      <c r="D21" s="39" t="s">
        <v>271</v>
      </c>
      <c r="K21" s="549"/>
      <c r="L21" s="9" t="s">
        <v>265</v>
      </c>
      <c r="M21" s="46" t="s">
        <v>20</v>
      </c>
      <c r="N21" s="310">
        <v>1</v>
      </c>
      <c r="O21" s="311">
        <v>1</v>
      </c>
      <c r="P21" s="311">
        <v>1</v>
      </c>
      <c r="Q21" s="311">
        <v>1</v>
      </c>
      <c r="R21" s="311">
        <v>1</v>
      </c>
      <c r="S21" s="312"/>
    </row>
    <row r="22" spans="1:19" x14ac:dyDescent="0.15">
      <c r="B22" s="39" t="s">
        <v>272</v>
      </c>
      <c r="K22" s="549"/>
      <c r="L22" s="9" t="s">
        <v>273</v>
      </c>
      <c r="M22" s="49"/>
      <c r="N22" s="304">
        <f>N20/N21</f>
        <v>1</v>
      </c>
      <c r="O22" s="305">
        <f>O20/O21</f>
        <v>1</v>
      </c>
      <c r="P22" s="305">
        <f>P20/P21</f>
        <v>1</v>
      </c>
      <c r="Q22" s="305">
        <f>Q20/Q21</f>
        <v>1</v>
      </c>
      <c r="R22" s="305">
        <f>R20/R21</f>
        <v>1</v>
      </c>
      <c r="S22" s="306"/>
    </row>
    <row r="23" spans="1:19" x14ac:dyDescent="0.15">
      <c r="C23" s="39" t="s">
        <v>274</v>
      </c>
      <c r="K23" s="549"/>
      <c r="L23" s="9" t="s">
        <v>275</v>
      </c>
      <c r="M23" s="49"/>
      <c r="N23" s="304">
        <f>ROUNDDOWN((1-0.2*(3-N22)),1)</f>
        <v>0.6</v>
      </c>
      <c r="O23" s="305">
        <f>ROUNDDOWN((1-0.2*(3-O22)),1)</f>
        <v>0.6</v>
      </c>
      <c r="P23" s="305">
        <f>ROUNDDOWN((1-0.2*(3-P22)),1)</f>
        <v>0.6</v>
      </c>
      <c r="Q23" s="305">
        <f>ROUNDDOWN((1-0.2*(3-Q22)),1)</f>
        <v>0.6</v>
      </c>
      <c r="R23" s="305">
        <f>ROUNDDOWN((1-0.2*(3-R22)),1)</f>
        <v>0.6</v>
      </c>
      <c r="S23" s="306"/>
    </row>
    <row r="24" spans="1:19" x14ac:dyDescent="0.15">
      <c r="C24" s="39" t="s">
        <v>255</v>
      </c>
      <c r="K24" s="549"/>
      <c r="L24" s="9" t="s">
        <v>239</v>
      </c>
      <c r="M24" s="46" t="s">
        <v>20</v>
      </c>
      <c r="N24" s="304">
        <f>N5</f>
        <v>1</v>
      </c>
      <c r="O24" s="305">
        <f>O5</f>
        <v>1</v>
      </c>
      <c r="P24" s="305">
        <f>P5</f>
        <v>1</v>
      </c>
      <c r="Q24" s="305">
        <f>Q5</f>
        <v>2</v>
      </c>
      <c r="R24" s="305">
        <f>R5</f>
        <v>1</v>
      </c>
      <c r="S24" s="306"/>
    </row>
    <row r="25" spans="1:19" x14ac:dyDescent="0.15">
      <c r="C25" s="39" t="s">
        <v>258</v>
      </c>
      <c r="K25" s="549"/>
      <c r="L25" s="9" t="s">
        <v>276</v>
      </c>
      <c r="M25" s="49"/>
      <c r="N25" s="321">
        <f>ROUNDDOWN((1/30)*N15*N17*(N24*100/30)^(-3/4)*10^2,2)</f>
        <v>7566.72</v>
      </c>
      <c r="O25" s="322">
        <f>ROUNDDOWN((1/30)*O15*O17*(O24*100/30)^(-3/4)*10^2,2)</f>
        <v>7566.72</v>
      </c>
      <c r="P25" s="322">
        <f>ROUNDDOWN((1/30)*P15*P17*(P24*100/30)^(-3/4)*10^2,2)</f>
        <v>7566.72</v>
      </c>
      <c r="Q25" s="322">
        <f>ROUNDDOWN((1/30)*Q15*Q17*(Q24*100/30)^(-3/4)*10^2,2)</f>
        <v>4499.1899999999996</v>
      </c>
      <c r="R25" s="322">
        <f>ROUNDDOWN((1/30)*R15*R17*(R24*100/30)^(-3/4)*10^2,2)</f>
        <v>7566.72</v>
      </c>
      <c r="S25" s="323"/>
    </row>
    <row r="26" spans="1:19" x14ac:dyDescent="0.15">
      <c r="C26" s="39" t="s">
        <v>277</v>
      </c>
      <c r="D26" s="39" t="s">
        <v>278</v>
      </c>
      <c r="K26" s="549"/>
      <c r="L26" s="9" t="s">
        <v>279</v>
      </c>
      <c r="M26" s="49"/>
      <c r="N26" s="321">
        <f>ROUNDDOWN(N25/N19,2)</f>
        <v>1</v>
      </c>
      <c r="O26" s="322">
        <f>ROUNDDOWN(O25/O19,2)</f>
        <v>1</v>
      </c>
      <c r="P26" s="322">
        <f>ROUNDDOWN(P25/P19,2)</f>
        <v>1</v>
      </c>
      <c r="Q26" s="322">
        <f>ROUNDDOWN(Q25/Q19,2)</f>
        <v>0.59</v>
      </c>
      <c r="R26" s="322">
        <f>ROUNDDOWN(R25/R19,2)</f>
        <v>1</v>
      </c>
      <c r="S26" s="323"/>
    </row>
    <row r="27" spans="1:19" x14ac:dyDescent="0.15">
      <c r="B27" s="39" t="s">
        <v>280</v>
      </c>
      <c r="K27" s="549"/>
      <c r="L27" s="9" t="s">
        <v>281</v>
      </c>
      <c r="M27" s="49"/>
      <c r="N27" s="304">
        <f>MAX(N23,N26)</f>
        <v>1</v>
      </c>
      <c r="O27" s="305">
        <f>MAX(O23,O26)</f>
        <v>1</v>
      </c>
      <c r="P27" s="305">
        <f>MAX(P23,P26)</f>
        <v>1</v>
      </c>
      <c r="Q27" s="305">
        <f>MAX(Q23,Q26)</f>
        <v>0.6</v>
      </c>
      <c r="R27" s="305">
        <f>MAX(R23,R26)</f>
        <v>1</v>
      </c>
      <c r="S27" s="306"/>
    </row>
    <row r="28" spans="1:19" x14ac:dyDescent="0.15">
      <c r="K28" s="549"/>
      <c r="L28" s="9" t="s">
        <v>282</v>
      </c>
      <c r="M28" s="49"/>
      <c r="N28" s="304">
        <f>(1-0.3*(3-N22))</f>
        <v>0.4</v>
      </c>
      <c r="O28" s="305">
        <f>(1-0.3*(3-O22))</f>
        <v>0.4</v>
      </c>
      <c r="P28" s="305">
        <f>(1-0.3*(3-P22))</f>
        <v>0.4</v>
      </c>
      <c r="Q28" s="305">
        <f>(1-0.3*(3-Q22))</f>
        <v>0.4</v>
      </c>
      <c r="R28" s="305">
        <f>(1-0.3*(3-R22))</f>
        <v>0.4</v>
      </c>
      <c r="S28" s="306"/>
    </row>
    <row r="29" spans="1:19" x14ac:dyDescent="0.15">
      <c r="B29" s="27" t="s">
        <v>283</v>
      </c>
      <c r="K29" s="549"/>
      <c r="L29" s="9" t="s">
        <v>284</v>
      </c>
      <c r="M29" s="49"/>
      <c r="N29" s="304">
        <f>N27*N28</f>
        <v>0.4</v>
      </c>
      <c r="O29" s="305">
        <f>O27*O28</f>
        <v>0.4</v>
      </c>
      <c r="P29" s="305">
        <f>P27*P28</f>
        <v>0.4</v>
      </c>
      <c r="Q29" s="305">
        <f>Q27*Q28</f>
        <v>0.24</v>
      </c>
      <c r="R29" s="305">
        <f>R27*R28</f>
        <v>0.4</v>
      </c>
      <c r="S29" s="306"/>
    </row>
    <row r="30" spans="1:19" x14ac:dyDescent="0.15">
      <c r="B30" s="39" t="s">
        <v>285</v>
      </c>
      <c r="K30" s="545"/>
      <c r="L30" s="10" t="s">
        <v>286</v>
      </c>
      <c r="M30" s="51"/>
      <c r="N30" s="313">
        <f>ROUNDDOWN(N29*N19,2)</f>
        <v>3026.68</v>
      </c>
      <c r="O30" s="314">
        <f>ROUNDDOWN(O29*O19,2)</f>
        <v>3026.68</v>
      </c>
      <c r="P30" s="314">
        <f>ROUNDDOWN(P29*P19,2)</f>
        <v>3026.68</v>
      </c>
      <c r="Q30" s="314">
        <f>ROUNDDOWN(Q29*Q19,2)</f>
        <v>1816.01</v>
      </c>
      <c r="R30" s="314">
        <f>ROUNDDOWN(R29*R19,2)</f>
        <v>3026.68</v>
      </c>
      <c r="S30" s="315"/>
    </row>
    <row r="31" spans="1:19" x14ac:dyDescent="0.15">
      <c r="C31" s="39" t="s">
        <v>270</v>
      </c>
      <c r="K31" s="568" t="s">
        <v>287</v>
      </c>
      <c r="L31" s="8" t="s">
        <v>30</v>
      </c>
      <c r="M31" s="45" t="s">
        <v>31</v>
      </c>
      <c r="N31" s="318">
        <v>1100</v>
      </c>
      <c r="O31" s="319">
        <v>800</v>
      </c>
      <c r="P31" s="319">
        <v>800</v>
      </c>
      <c r="Q31" s="319">
        <v>800</v>
      </c>
      <c r="R31" s="319">
        <v>800</v>
      </c>
      <c r="S31" s="320"/>
    </row>
    <row r="32" spans="1:19" x14ac:dyDescent="0.15">
      <c r="K32" s="549"/>
      <c r="L32" s="9" t="s">
        <v>288</v>
      </c>
      <c r="M32" s="46" t="s">
        <v>31</v>
      </c>
      <c r="N32" s="304">
        <f>N31*180</f>
        <v>198000</v>
      </c>
      <c r="O32" s="305">
        <f>O31*180</f>
        <v>144000</v>
      </c>
      <c r="P32" s="305">
        <f>P31*180</f>
        <v>144000</v>
      </c>
      <c r="Q32" s="305">
        <f>Q31*180</f>
        <v>144000</v>
      </c>
      <c r="R32" s="305">
        <f>R31*180</f>
        <v>144000</v>
      </c>
      <c r="S32" s="306"/>
    </row>
    <row r="33" spans="1:19" x14ac:dyDescent="0.15">
      <c r="B33" s="39" t="s">
        <v>289</v>
      </c>
      <c r="K33" s="549"/>
      <c r="L33" s="9" t="s">
        <v>290</v>
      </c>
      <c r="M33" s="46" t="s">
        <v>291</v>
      </c>
      <c r="N33" s="324">
        <f>ROUNDDOWN(PI()*N18^4/64,3)</f>
        <v>4.9000000000000002E-2</v>
      </c>
      <c r="O33" s="325">
        <f>ROUNDDOWN(PI()*O18^4/64,3)</f>
        <v>4.9000000000000002E-2</v>
      </c>
      <c r="P33" s="325">
        <f>ROUNDDOWN(PI()*P18^4/64,3)</f>
        <v>4.9000000000000002E-2</v>
      </c>
      <c r="Q33" s="325">
        <f>ROUNDDOWN(PI()*Q18^4/64,3)</f>
        <v>4.9000000000000002E-2</v>
      </c>
      <c r="R33" s="325">
        <f>ROUNDDOWN(PI()*R18^4/64,3)</f>
        <v>4.9000000000000002E-2</v>
      </c>
      <c r="S33" s="326"/>
    </row>
    <row r="34" spans="1:19" x14ac:dyDescent="0.15">
      <c r="B34" s="39" t="s">
        <v>292</v>
      </c>
      <c r="K34" s="549"/>
      <c r="L34" s="9" t="s">
        <v>111</v>
      </c>
      <c r="M34" s="49"/>
      <c r="N34" s="321">
        <f>ROUNDDOWN((N30*N18/4/N32/N33)^(1/4),2)</f>
        <v>0.52</v>
      </c>
      <c r="O34" s="322">
        <f>ROUNDDOWN((O30*O18/4/O32/O33)^(1/4),2)</f>
        <v>0.56999999999999995</v>
      </c>
      <c r="P34" s="322">
        <f>ROUNDDOWN((P30*P18/4/P32/P33)^(1/4),2)</f>
        <v>0.56999999999999995</v>
      </c>
      <c r="Q34" s="322">
        <f>ROUNDDOWN((Q30*Q18/4/Q32/Q33)^(1/4),2)</f>
        <v>0.5</v>
      </c>
      <c r="R34" s="322">
        <f>ROUNDDOWN((R30*R18/4/R32/R33)^(1/4),2)</f>
        <v>0.56999999999999995</v>
      </c>
      <c r="S34" s="323"/>
    </row>
    <row r="35" spans="1:19" x14ac:dyDescent="0.15">
      <c r="K35" s="549"/>
      <c r="L35" s="9" t="s">
        <v>26</v>
      </c>
      <c r="M35" s="46" t="s">
        <v>20</v>
      </c>
      <c r="N35" s="304">
        <f>鉛直!O10</f>
        <v>8</v>
      </c>
      <c r="O35" s="305">
        <f>鉛直!P10</f>
        <v>9.02</v>
      </c>
      <c r="P35" s="305">
        <f>鉛直!Q10</f>
        <v>9.02</v>
      </c>
      <c r="Q35" s="305">
        <f>鉛直!R10</f>
        <v>9.02</v>
      </c>
      <c r="R35" s="305">
        <f>鉛直!S10</f>
        <v>9.02</v>
      </c>
      <c r="S35" s="306"/>
    </row>
    <row r="36" spans="1:19" x14ac:dyDescent="0.15">
      <c r="A36" s="39" t="s">
        <v>293</v>
      </c>
      <c r="K36" s="549"/>
      <c r="L36" s="9" t="s">
        <v>294</v>
      </c>
      <c r="M36" s="49"/>
      <c r="N36" s="304">
        <f>ROUNDDOWN(N34*N35,1)</f>
        <v>4.0999999999999996</v>
      </c>
      <c r="O36" s="305">
        <f>ROUNDDOWN(O34*O35,1)</f>
        <v>5.0999999999999996</v>
      </c>
      <c r="P36" s="305">
        <f>ROUNDDOWN(P34*P35,1)</f>
        <v>5.0999999999999996</v>
      </c>
      <c r="Q36" s="305">
        <f>ROUNDDOWN(Q34*Q35,1)</f>
        <v>4.5</v>
      </c>
      <c r="R36" s="305">
        <f>ROUNDDOWN(R34*R35,1)</f>
        <v>5.0999999999999996</v>
      </c>
      <c r="S36" s="306"/>
    </row>
    <row r="37" spans="1:19" x14ac:dyDescent="0.15">
      <c r="B37" s="27" t="s">
        <v>295</v>
      </c>
      <c r="K37" s="549"/>
      <c r="L37" s="9" t="s">
        <v>296</v>
      </c>
      <c r="M37" s="49"/>
      <c r="N37" s="324">
        <f>IF($E$46=0.25,IF(N36&lt;5,VLOOKUP(N36,Sheet3!$A$5:$I$50,2,0),Sheet3!$B$50),IF(N36&lt;5,VLOOKUP(N36,Sheet3!$A$5:$I$50,6,0),Sheet3!$F$50))</f>
        <v>0.64400000000000002</v>
      </c>
      <c r="O37" s="325">
        <f>IF($E$46=0.25,IF(O36&lt;5,VLOOKUP(O36,Sheet3!$A$5:$I$50,2,0),Sheet3!$B$50),IF(O36&lt;5,VLOOKUP(O36,Sheet3!$A$5:$I$50,6,0),Sheet3!$F$50))</f>
        <v>0.64500000000000002</v>
      </c>
      <c r="P37" s="325">
        <f>IF($E$46=0.25,IF(P36&lt;5,VLOOKUP(P36,Sheet3!$A$5:$I$50,2,0),Sheet3!$B$50),IF(P36&lt;5,VLOOKUP(P36,Sheet3!$A$5:$I$50,6,0),Sheet3!$F$50))</f>
        <v>0.64500000000000002</v>
      </c>
      <c r="Q37" s="325">
        <f>IF($E$46=0.25,IF(Q36&lt;5,VLOOKUP(Q36,Sheet3!$A$5:$I$50,2,0),Sheet3!$B$50),IF(Q36&lt;5,VLOOKUP(Q36,Sheet3!$A$5:$I$50,6,0),Sheet3!$F$50))</f>
        <v>0.64400000000000002</v>
      </c>
      <c r="R37" s="325">
        <f>IF($E$46=0.25,IF(R36&lt;5,VLOOKUP(R36,Sheet3!$A$5:$I$50,2,0),Sheet3!$B$50),IF(R36&lt;5,VLOOKUP(R36,Sheet3!$A$5:$I$50,6,0),Sheet3!$F$50))</f>
        <v>0.64500000000000002</v>
      </c>
      <c r="S37" s="326"/>
    </row>
    <row r="38" spans="1:19" x14ac:dyDescent="0.15">
      <c r="B38" s="39" t="s">
        <v>297</v>
      </c>
      <c r="F38" s="39" t="s">
        <v>298</v>
      </c>
      <c r="K38" s="549"/>
      <c r="L38" s="9" t="s">
        <v>299</v>
      </c>
      <c r="M38" s="49"/>
      <c r="N38" s="324">
        <f>IF($E$46=0.25,IF(N36&lt;5,VLOOKUP(N36,Sheet3!$A$5:$I$50,3,0),Sheet3!$C$50),IF(N36&lt;5,VLOOKUP(N36,Sheet3!$A$5:$I$50,7,0),Sheet3!$G$50))</f>
        <v>0</v>
      </c>
      <c r="O38" s="325">
        <f>IF($E$46=0.25,IF(O36&lt;5,VLOOKUP(O36,Sheet3!$A$5:$I$50,3,0),Sheet3!$C$50),IF(O36&lt;5,VLOOKUP(O36,Sheet3!$A$5:$I$50,7,0),Sheet3!$G$50))</f>
        <v>0</v>
      </c>
      <c r="P38" s="325">
        <f>IF($E$46=0.25,IF(P36&lt;5,VLOOKUP(P36,Sheet3!$A$5:$I$50,3,0),Sheet3!$C$50),IF(P36&lt;5,VLOOKUP(P36,Sheet3!$A$5:$I$50,7,0),Sheet3!$G$50))</f>
        <v>0</v>
      </c>
      <c r="Q38" s="325">
        <f>IF($E$46=0.25,IF(Q36&lt;5,VLOOKUP(Q36,Sheet3!$A$5:$I$50,3,0),Sheet3!$C$50),IF(Q36&lt;5,VLOOKUP(Q36,Sheet3!$A$5:$I$50,7,0),Sheet3!$G$50))</f>
        <v>0</v>
      </c>
      <c r="R38" s="325">
        <f>IF($E$46=0.25,IF(R36&lt;5,VLOOKUP(R36,Sheet3!$A$5:$I$50,3,0),Sheet3!$C$50),IF(R36&lt;5,VLOOKUP(R36,Sheet3!$A$5:$I$50,7,0),Sheet3!$G$50))</f>
        <v>0</v>
      </c>
      <c r="S38" s="326"/>
    </row>
    <row r="39" spans="1:19" x14ac:dyDescent="0.15">
      <c r="B39" s="39" t="s">
        <v>300</v>
      </c>
      <c r="F39" s="39" t="s">
        <v>298</v>
      </c>
      <c r="K39" s="549"/>
      <c r="L39" s="9" t="s">
        <v>301</v>
      </c>
      <c r="M39" s="49"/>
      <c r="N39" s="324">
        <f>$E$46</f>
        <v>0</v>
      </c>
      <c r="O39" s="325">
        <f>$E$46</f>
        <v>0</v>
      </c>
      <c r="P39" s="325">
        <f>$E$46</f>
        <v>0</v>
      </c>
      <c r="Q39" s="325">
        <f>$E$46</f>
        <v>0</v>
      </c>
      <c r="R39" s="325">
        <f>$E$46</f>
        <v>0</v>
      </c>
      <c r="S39" s="326"/>
    </row>
    <row r="40" spans="1:19" x14ac:dyDescent="0.15">
      <c r="B40" s="39" t="s">
        <v>302</v>
      </c>
      <c r="F40" s="39" t="s">
        <v>298</v>
      </c>
      <c r="K40" s="549"/>
      <c r="L40" s="9" t="s">
        <v>303</v>
      </c>
      <c r="M40" s="46" t="s">
        <v>304</v>
      </c>
      <c r="N40" s="321">
        <f>ROUNDDOWN(N14/2/N34*N37,2)</f>
        <v>20.37</v>
      </c>
      <c r="O40" s="322">
        <f>ROUNDDOWN(O14/2/O34*O37,2)</f>
        <v>16.93</v>
      </c>
      <c r="P40" s="322">
        <f>ROUNDDOWN(P14/2/P34*P37,2)</f>
        <v>18.440000000000001</v>
      </c>
      <c r="Q40" s="322">
        <f>ROUNDDOWN(Q14/2/Q34*Q37,2)</f>
        <v>12.88</v>
      </c>
      <c r="R40" s="322">
        <f>ROUNDDOWN(R14/2/R34*R37,2)</f>
        <v>14.57</v>
      </c>
      <c r="S40" s="323"/>
    </row>
    <row r="41" spans="1:19" ht="13.5" customHeight="1" x14ac:dyDescent="0.15">
      <c r="C41" s="39" t="s">
        <v>305</v>
      </c>
      <c r="G41" s="39" t="s">
        <v>237</v>
      </c>
      <c r="K41" s="549"/>
      <c r="L41" s="9" t="s">
        <v>306</v>
      </c>
      <c r="M41" s="46" t="s">
        <v>304</v>
      </c>
      <c r="N41" s="321">
        <f>ROUNDDOWN(N14/2/N34*N38,2)</f>
        <v>0</v>
      </c>
      <c r="O41" s="322">
        <f>ROUNDDOWN(O14/2/O34*O38,2)</f>
        <v>0</v>
      </c>
      <c r="P41" s="322">
        <f>ROUNDDOWN(P14/2/P34*P38,2)</f>
        <v>0</v>
      </c>
      <c r="Q41" s="322">
        <f>ROUNDDOWN(Q14/2/Q34*Q38,2)</f>
        <v>0</v>
      </c>
      <c r="R41" s="322">
        <f>ROUNDDOWN(R14/2/R34*R38,2)</f>
        <v>0</v>
      </c>
      <c r="S41" s="323"/>
    </row>
    <row r="42" spans="1:19" x14ac:dyDescent="0.15">
      <c r="C42" s="39" t="s">
        <v>307</v>
      </c>
      <c r="K42" s="545"/>
      <c r="L42" s="10" t="s">
        <v>308</v>
      </c>
      <c r="M42" s="50" t="s">
        <v>304</v>
      </c>
      <c r="N42" s="313">
        <f>ROUNDDOWN(MAX(N40:N41),2)</f>
        <v>20.37</v>
      </c>
      <c r="O42" s="314">
        <f>ROUNDDOWN(MAX(O40:O41),2)</f>
        <v>16.93</v>
      </c>
      <c r="P42" s="314">
        <f>ROUNDDOWN(MAX(P40:P41),2)</f>
        <v>18.440000000000001</v>
      </c>
      <c r="Q42" s="314">
        <f>ROUNDDOWN(MAX(Q40:Q41),2)</f>
        <v>12.88</v>
      </c>
      <c r="R42" s="314">
        <f>ROUNDDOWN(MAX(R40:R41),2)</f>
        <v>14.57</v>
      </c>
      <c r="S42" s="315"/>
    </row>
    <row r="43" spans="1:19" x14ac:dyDescent="0.15">
      <c r="C43" s="39" t="s">
        <v>309</v>
      </c>
      <c r="G43" s="39" t="s">
        <v>310</v>
      </c>
      <c r="K43" s="562" t="s">
        <v>311</v>
      </c>
      <c r="L43" s="8" t="s">
        <v>312</v>
      </c>
      <c r="M43" s="45" t="s">
        <v>126</v>
      </c>
      <c r="N43" s="327">
        <f>(N8+N9+N11)/N12</f>
        <v>192.6</v>
      </c>
      <c r="O43" s="328">
        <f>(O8+O9+O11)/O12</f>
        <v>176.1</v>
      </c>
      <c r="P43" s="328">
        <f>(P8+P9+P11)/P12</f>
        <v>190.93333333333331</v>
      </c>
      <c r="Q43" s="328">
        <f>(Q8+Q9+Q11)/Q12</f>
        <v>120.93333333333334</v>
      </c>
      <c r="R43" s="328">
        <f>(R8+R9+R11)/R12</f>
        <v>152.93333333333334</v>
      </c>
      <c r="S43" s="329"/>
    </row>
    <row r="44" spans="1:19" ht="18" customHeight="1" x14ac:dyDescent="0.15">
      <c r="C44" s="39" t="s">
        <v>313</v>
      </c>
      <c r="G44" s="39" t="s">
        <v>314</v>
      </c>
      <c r="K44" s="563"/>
      <c r="L44" s="9" t="s">
        <v>315</v>
      </c>
      <c r="M44" s="46" t="s">
        <v>31</v>
      </c>
      <c r="N44" s="330">
        <f>(N43/N50)+N42/(2*N33/N21)</f>
        <v>453.08307917313516</v>
      </c>
      <c r="O44" s="331">
        <f>(O43/O50)+O42/(2*O33/O21)</f>
        <v>396.97258586867849</v>
      </c>
      <c r="P44" s="331">
        <f>(P43/P50)+P42/(2*P33/P21)</f>
        <v>431.26713571422283</v>
      </c>
      <c r="Q44" s="331">
        <f>(Q43/Q50)+Q42/(2*Q33/Q21)</f>
        <v>285.40567370521046</v>
      </c>
      <c r="R44" s="331">
        <f>(R43/R50)+R42/(2*R33/R21)</f>
        <v>343.39423709591932</v>
      </c>
      <c r="S44" s="332"/>
    </row>
    <row r="45" spans="1:19" x14ac:dyDescent="0.15">
      <c r="C45" s="39" t="s">
        <v>316</v>
      </c>
      <c r="K45" s="563"/>
      <c r="L45" s="9" t="s">
        <v>159</v>
      </c>
      <c r="M45" s="46" t="s">
        <v>31</v>
      </c>
      <c r="N45" s="330">
        <f>2/3*N31</f>
        <v>733.33333333333326</v>
      </c>
      <c r="O45" s="331">
        <f>2/3*O31</f>
        <v>533.33333333333326</v>
      </c>
      <c r="P45" s="331">
        <f>2/3*P31</f>
        <v>533.33333333333326</v>
      </c>
      <c r="Q45" s="331">
        <f>2/3*Q31</f>
        <v>533.33333333333326</v>
      </c>
      <c r="R45" s="331">
        <f>2/3*R31</f>
        <v>533.33333333333326</v>
      </c>
      <c r="S45" s="332"/>
    </row>
    <row r="46" spans="1:19" x14ac:dyDescent="0.15">
      <c r="C46" s="39" t="s">
        <v>317</v>
      </c>
      <c r="E46" s="28">
        <v>0</v>
      </c>
      <c r="F46" s="87" t="s">
        <v>318</v>
      </c>
      <c r="K46" s="563"/>
      <c r="L46" s="9" t="s">
        <v>319</v>
      </c>
      <c r="M46" s="49"/>
      <c r="N46" s="333" t="str">
        <f>IF(N45&gt;N44,"OK","NG")</f>
        <v>OK</v>
      </c>
      <c r="O46" s="334" t="str">
        <f>IF(O45&gt;O44,"OK","NG")</f>
        <v>OK</v>
      </c>
      <c r="P46" s="334" t="str">
        <f>IF(P45&gt;P44,"OK","NG")</f>
        <v>OK</v>
      </c>
      <c r="Q46" s="334" t="str">
        <f>IF(Q45&gt;Q44,"OK","NG")</f>
        <v>OK</v>
      </c>
      <c r="R46" s="334" t="str">
        <f>IF(R45&gt;R44,"OK","NG")</f>
        <v>OK</v>
      </c>
      <c r="S46" s="335"/>
    </row>
    <row r="47" spans="1:19" x14ac:dyDescent="0.15">
      <c r="K47" s="563"/>
      <c r="L47" s="9" t="s">
        <v>320</v>
      </c>
      <c r="M47" s="46" t="s">
        <v>31</v>
      </c>
      <c r="N47" s="330">
        <f>(N43/N50)-N42/(2*N33/N21)</f>
        <v>37.368793458849467</v>
      </c>
      <c r="O47" s="331">
        <f>(O43/O50)-O42/(2*O33/O21)</f>
        <v>51.462381787045814</v>
      </c>
      <c r="P47" s="331">
        <f>(P43/P50)-P42/(2*P33/P21)</f>
        <v>54.940605101977894</v>
      </c>
      <c r="Q47" s="331">
        <f>(Q43/Q50)-Q42/(2*Q33/Q21)</f>
        <v>22.548530848067571</v>
      </c>
      <c r="R47" s="331">
        <f>(R43/R50)-R42/(2*R33/R21)</f>
        <v>46.047298320409141</v>
      </c>
      <c r="S47" s="332"/>
    </row>
    <row r="48" spans="1:19" ht="15.75" customHeight="1" x14ac:dyDescent="0.15">
      <c r="A48" s="39" t="s">
        <v>321</v>
      </c>
      <c r="K48" s="563"/>
      <c r="L48" s="9" t="s">
        <v>322</v>
      </c>
      <c r="M48" s="46" t="s">
        <v>31</v>
      </c>
      <c r="N48" s="330">
        <f>-0.2*N45</f>
        <v>-146.66666666666666</v>
      </c>
      <c r="O48" s="331">
        <f>-0.2*O45</f>
        <v>-106.66666666666666</v>
      </c>
      <c r="P48" s="331">
        <f>-0.2*P45</f>
        <v>-106.66666666666666</v>
      </c>
      <c r="Q48" s="331">
        <f>-0.2*Q45</f>
        <v>-106.66666666666666</v>
      </c>
      <c r="R48" s="331">
        <f>-0.2*R45</f>
        <v>-106.66666666666666</v>
      </c>
      <c r="S48" s="332"/>
    </row>
    <row r="49" spans="1:19" x14ac:dyDescent="0.15">
      <c r="B49" s="39" t="s">
        <v>323</v>
      </c>
      <c r="F49" s="39" t="s">
        <v>310</v>
      </c>
      <c r="K49" s="564"/>
      <c r="L49" s="10" t="s">
        <v>324</v>
      </c>
      <c r="M49" s="51"/>
      <c r="N49" s="336" t="str">
        <f>IF(N47&gt;N48,"OK","NG")</f>
        <v>OK</v>
      </c>
      <c r="O49" s="337" t="str">
        <f>IF(O47&gt;O48,"OK","NG")</f>
        <v>OK</v>
      </c>
      <c r="P49" s="337" t="str">
        <f>IF(P47&gt;P48,"OK","NG")</f>
        <v>OK</v>
      </c>
      <c r="Q49" s="337" t="str">
        <f>IF(Q47&gt;Q48,"OK","NG")</f>
        <v>OK</v>
      </c>
      <c r="R49" s="337" t="str">
        <f>IF(R47&gt;R48,"OK","NG")</f>
        <v>OK</v>
      </c>
      <c r="S49" s="338"/>
    </row>
    <row r="50" spans="1:19" x14ac:dyDescent="0.15">
      <c r="B50" s="39" t="s">
        <v>325</v>
      </c>
      <c r="F50" s="39" t="s">
        <v>310</v>
      </c>
      <c r="K50" s="562" t="s">
        <v>326</v>
      </c>
      <c r="L50" s="8" t="s">
        <v>65</v>
      </c>
      <c r="M50" s="45" t="s">
        <v>66</v>
      </c>
      <c r="N50" s="339">
        <f>(N20/2)^2*PI()</f>
        <v>0.78539816339744828</v>
      </c>
      <c r="O50" s="340">
        <f>(O20/2)^2*PI()</f>
        <v>0.78539816339744828</v>
      </c>
      <c r="P50" s="340">
        <f>(P20/2)^2*PI()</f>
        <v>0.78539816339744828</v>
      </c>
      <c r="Q50" s="340">
        <f>(Q20/2)^2*PI()</f>
        <v>0.78539816339744828</v>
      </c>
      <c r="R50" s="340">
        <f>(R20/2)^2*PI()</f>
        <v>0.78539816339744828</v>
      </c>
      <c r="S50" s="341"/>
    </row>
    <row r="51" spans="1:19" x14ac:dyDescent="0.15">
      <c r="C51" s="39" t="s">
        <v>327</v>
      </c>
      <c r="F51" s="39" t="s">
        <v>328</v>
      </c>
      <c r="K51" s="563"/>
      <c r="L51" s="9" t="s">
        <v>329</v>
      </c>
      <c r="M51" s="46" t="s">
        <v>31</v>
      </c>
      <c r="N51" s="330">
        <f>N14/N50</f>
        <v>41.889581021786853</v>
      </c>
      <c r="O51" s="331">
        <f>O14/O50</f>
        <v>38.10805957392342</v>
      </c>
      <c r="P51" s="331">
        <f>P14/P50</f>
        <v>41.507609158366307</v>
      </c>
      <c r="Q51" s="331">
        <f>Q14/Q50</f>
        <v>25.464790894703256</v>
      </c>
      <c r="R51" s="331">
        <f>R14/R50</f>
        <v>32.798650672377796</v>
      </c>
      <c r="S51" s="332"/>
    </row>
    <row r="52" spans="1:19" x14ac:dyDescent="0.15">
      <c r="C52" s="39" t="s">
        <v>330</v>
      </c>
      <c r="K52" s="563"/>
      <c r="L52" s="9" t="s">
        <v>331</v>
      </c>
      <c r="M52" s="46" t="s">
        <v>31</v>
      </c>
      <c r="N52" s="330">
        <f>MIN((0.3*N31+N51*TAN(30*PI()/180)),0.5*N31)</f>
        <v>354.1849608791693</v>
      </c>
      <c r="O52" s="331">
        <f>MIN((0.3*O31+O51*TAN(30*PI()/180)),0.5*O31)</f>
        <v>262.00169845329896</v>
      </c>
      <c r="P52" s="331">
        <f>MIN((0.3*P31+P51*TAN(30*PI()/180)),0.5*P31)</f>
        <v>263.96442932100058</v>
      </c>
      <c r="Q52" s="331">
        <f>MIN((0.3*Q31+Q51*TAN(30*PI()/180)),0.5*Q31)</f>
        <v>254.70210387791445</v>
      </c>
      <c r="R52" s="331">
        <f>MIN((0.3*R31+R51*TAN(30*PI()/180)),0.5*R31)</f>
        <v>258.93630979475381</v>
      </c>
      <c r="S52" s="332"/>
    </row>
    <row r="53" spans="1:19" x14ac:dyDescent="0.15">
      <c r="C53" s="39" t="s">
        <v>332</v>
      </c>
      <c r="K53" s="563"/>
      <c r="L53" s="9" t="s">
        <v>333</v>
      </c>
      <c r="M53" s="46" t="s">
        <v>31</v>
      </c>
      <c r="N53" s="330">
        <f>2/3*N52</f>
        <v>236.12330725277951</v>
      </c>
      <c r="O53" s="331">
        <f>2/3*O52</f>
        <v>174.66779896886595</v>
      </c>
      <c r="P53" s="331">
        <f>2/3*P52</f>
        <v>175.97628621400037</v>
      </c>
      <c r="Q53" s="331">
        <f>2/3*Q52</f>
        <v>169.80140258527629</v>
      </c>
      <c r="R53" s="331">
        <f>2/3*R52</f>
        <v>172.62420652983587</v>
      </c>
      <c r="S53" s="332"/>
    </row>
    <row r="54" spans="1:19" x14ac:dyDescent="0.15">
      <c r="K54" s="563"/>
      <c r="L54" s="9" t="s">
        <v>334</v>
      </c>
      <c r="M54" s="46" t="s">
        <v>31</v>
      </c>
      <c r="N54" s="330">
        <f>4/3*(N14/N50)</f>
        <v>55.852774695715802</v>
      </c>
      <c r="O54" s="331">
        <f>4/3*(O14/O50)</f>
        <v>50.810746098564557</v>
      </c>
      <c r="P54" s="331">
        <f>4/3*(P14/P50)</f>
        <v>55.343478877821738</v>
      </c>
      <c r="Q54" s="331">
        <f>4/3*(Q14/Q50)</f>
        <v>33.953054526271004</v>
      </c>
      <c r="R54" s="331">
        <f>4/3*(R14/R50)</f>
        <v>43.73153422983706</v>
      </c>
      <c r="S54" s="332"/>
    </row>
    <row r="55" spans="1:19" x14ac:dyDescent="0.15">
      <c r="A55" s="39" t="s">
        <v>335</v>
      </c>
      <c r="K55" s="564"/>
      <c r="L55" s="10" t="s">
        <v>336</v>
      </c>
      <c r="M55" s="51"/>
      <c r="N55" s="336" t="str">
        <f>IF(N53&gt;N54,"OK","NG")</f>
        <v>OK</v>
      </c>
      <c r="O55" s="337" t="str">
        <f>IF(O53&gt;O54,"OK","NG")</f>
        <v>OK</v>
      </c>
      <c r="P55" s="337" t="str">
        <f>IF(P53&gt;P54,"OK","NG")</f>
        <v>OK</v>
      </c>
      <c r="Q55" s="337" t="str">
        <f>IF(Q53&gt;Q54,"OK","NG")</f>
        <v>OK</v>
      </c>
      <c r="R55" s="337" t="str">
        <f>IF(R53&gt;R54,"OK","NG")</f>
        <v>OK</v>
      </c>
      <c r="S55" s="338"/>
    </row>
    <row r="56" spans="1:19" x14ac:dyDescent="0.15">
      <c r="B56" s="27" t="s">
        <v>337</v>
      </c>
      <c r="E56" s="39" t="s">
        <v>338</v>
      </c>
    </row>
    <row r="57" spans="1:19" x14ac:dyDescent="0.15">
      <c r="B57" s="27" t="s">
        <v>339</v>
      </c>
      <c r="E57" s="39" t="s">
        <v>340</v>
      </c>
    </row>
    <row r="59" spans="1:19" x14ac:dyDescent="0.15">
      <c r="A59" s="39" t="s">
        <v>341</v>
      </c>
    </row>
    <row r="60" spans="1:19" x14ac:dyDescent="0.15">
      <c r="B60" s="39" t="s">
        <v>342</v>
      </c>
    </row>
    <row r="61" spans="1:19" x14ac:dyDescent="0.15">
      <c r="B61" s="27" t="s">
        <v>343</v>
      </c>
    </row>
    <row r="62" spans="1:19" x14ac:dyDescent="0.15">
      <c r="B62" s="27" t="s">
        <v>344</v>
      </c>
    </row>
    <row r="63" spans="1:19" x14ac:dyDescent="0.15">
      <c r="C63" s="39" t="s">
        <v>345</v>
      </c>
      <c r="D63" s="11"/>
    </row>
    <row r="64" spans="1:19" x14ac:dyDescent="0.15">
      <c r="C64" s="39" t="s">
        <v>346</v>
      </c>
      <c r="G64" s="39" t="s">
        <v>310</v>
      </c>
    </row>
    <row r="65" spans="3:3" x14ac:dyDescent="0.15">
      <c r="C65" s="39" t="s">
        <v>347</v>
      </c>
    </row>
    <row r="66" spans="3:3" x14ac:dyDescent="0.15">
      <c r="C66" s="39" t="s">
        <v>348</v>
      </c>
    </row>
  </sheetData>
  <mergeCells count="8">
    <mergeCell ref="K50:K55"/>
    <mergeCell ref="K4:L4"/>
    <mergeCell ref="K3:L3"/>
    <mergeCell ref="K43:K49"/>
    <mergeCell ref="K5:K14"/>
    <mergeCell ref="K15:K19"/>
    <mergeCell ref="K20:K30"/>
    <mergeCell ref="K31:K42"/>
  </mergeCells>
  <phoneticPr fontId="1"/>
  <conditionalFormatting sqref="N46:S46">
    <cfRule type="cellIs" dxfId="14" priority="5" stopIfTrue="1" operator="equal">
      <formula>"NG"</formula>
    </cfRule>
  </conditionalFormatting>
  <conditionalFormatting sqref="N49:S49 N55:S55">
    <cfRule type="cellIs" dxfId="13" priority="6" stopIfTrue="1" operator="equal">
      <formula>"NG"</formula>
    </cfRule>
  </conditionalFormatting>
  <pageMargins left="0.75" right="0.75" top="1" bottom="1" header="0.51200000000000001" footer="0.51200000000000001"/>
  <pageSetup paperSize="9" scale="75" fitToWidth="2" orientation="portrait" blackAndWhite="1" r:id="rId1"/>
  <colBreaks count="1" manualBreakCount="1">
    <brk id="10" max="6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118"/>
  <sheetViews>
    <sheetView tabSelected="1" topLeftCell="A4" zoomScaleNormal="100" zoomScaleSheetLayoutView="100" workbookViewId="0">
      <selection activeCell="K21" sqref="K21"/>
    </sheetView>
  </sheetViews>
  <sheetFormatPr defaultRowHeight="14.25" customHeight="1" x14ac:dyDescent="0.15"/>
  <cols>
    <col min="1" max="1" width="7.125" style="173" customWidth="1"/>
    <col min="2" max="2" width="26" style="192" customWidth="1"/>
    <col min="3" max="3" width="9.625" style="193" customWidth="1"/>
    <col min="4" max="4" width="9.625" style="230" customWidth="1"/>
    <col min="5" max="10" width="8.625" style="173" customWidth="1"/>
    <col min="11" max="12" width="7.125" style="173" customWidth="1"/>
    <col min="13" max="35" width="7.25" style="173" customWidth="1"/>
    <col min="36" max="62" width="9" style="173" customWidth="1"/>
    <col min="63" max="16384" width="9" style="173"/>
  </cols>
  <sheetData>
    <row r="2" spans="1:19" ht="17.25" customHeight="1" x14ac:dyDescent="0.15"/>
    <row r="4" spans="1:19" ht="14.25" customHeight="1" x14ac:dyDescent="0.15">
      <c r="A4" s="173" t="s">
        <v>1</v>
      </c>
    </row>
    <row r="8" spans="1:19" ht="14.25" customHeight="1" x14ac:dyDescent="0.25">
      <c r="A8" s="211"/>
      <c r="B8" s="212"/>
      <c r="C8" s="212"/>
      <c r="D8" s="213"/>
      <c r="E8" s="227" t="s">
        <v>7</v>
      </c>
      <c r="F8" s="228" t="s">
        <v>7</v>
      </c>
      <c r="G8" s="229" t="s">
        <v>7</v>
      </c>
      <c r="H8" s="228" t="s">
        <v>7</v>
      </c>
      <c r="I8" s="228" t="s">
        <v>8</v>
      </c>
      <c r="J8" s="229" t="s">
        <v>7</v>
      </c>
      <c r="K8" s="230" t="s">
        <v>7</v>
      </c>
      <c r="L8" s="230" t="s">
        <v>8</v>
      </c>
      <c r="M8" s="230" t="s">
        <v>7</v>
      </c>
      <c r="N8" s="230" t="s">
        <v>7</v>
      </c>
      <c r="O8" s="230" t="s">
        <v>8</v>
      </c>
      <c r="P8" s="230" t="s">
        <v>7</v>
      </c>
      <c r="Q8" s="230" t="s">
        <v>7</v>
      </c>
      <c r="R8" s="230" t="s">
        <v>7</v>
      </c>
      <c r="S8" s="230" t="s">
        <v>7</v>
      </c>
    </row>
    <row r="9" spans="1:19" ht="14.25" customHeight="1" x14ac:dyDescent="0.25">
      <c r="A9" s="214"/>
      <c r="B9" s="215"/>
      <c r="C9" s="183"/>
      <c r="D9" s="216"/>
      <c r="E9" s="231" t="s">
        <v>349</v>
      </c>
      <c r="F9" s="232" t="s">
        <v>350</v>
      </c>
      <c r="G9" s="230" t="s">
        <v>351</v>
      </c>
      <c r="H9" s="232" t="s">
        <v>349</v>
      </c>
      <c r="I9" s="232" t="s">
        <v>350</v>
      </c>
      <c r="J9" s="230" t="s">
        <v>351</v>
      </c>
      <c r="K9" s="230" t="s">
        <v>349</v>
      </c>
      <c r="L9" s="230" t="s">
        <v>350</v>
      </c>
      <c r="M9" s="230" t="s">
        <v>351</v>
      </c>
      <c r="N9" s="230" t="s">
        <v>349</v>
      </c>
      <c r="O9" s="230" t="s">
        <v>350</v>
      </c>
      <c r="P9" s="230" t="s">
        <v>351</v>
      </c>
      <c r="Q9" s="230" t="s">
        <v>349</v>
      </c>
      <c r="R9" s="230" t="s">
        <v>350</v>
      </c>
      <c r="S9" s="230" t="s">
        <v>351</v>
      </c>
    </row>
    <row r="10" spans="1:19" ht="14.25" customHeight="1" x14ac:dyDescent="0.25">
      <c r="A10" s="220"/>
      <c r="B10" s="221"/>
      <c r="C10" s="221"/>
      <c r="D10" s="222"/>
      <c r="E10" s="233" t="s">
        <v>352</v>
      </c>
      <c r="F10" s="234" t="s">
        <v>352</v>
      </c>
      <c r="G10" s="235" t="s">
        <v>352</v>
      </c>
      <c r="H10" s="234" t="s">
        <v>353</v>
      </c>
      <c r="I10" s="234" t="s">
        <v>353</v>
      </c>
      <c r="J10" s="235" t="s">
        <v>353</v>
      </c>
      <c r="K10" s="230" t="s">
        <v>354</v>
      </c>
      <c r="L10" s="230" t="s">
        <v>354</v>
      </c>
      <c r="M10" s="230" t="s">
        <v>354</v>
      </c>
      <c r="N10" s="230" t="s">
        <v>355</v>
      </c>
      <c r="O10" s="230" t="s">
        <v>355</v>
      </c>
      <c r="P10" s="230" t="s">
        <v>355</v>
      </c>
      <c r="Q10" s="230" t="s">
        <v>356</v>
      </c>
      <c r="R10" s="230" t="s">
        <v>356</v>
      </c>
      <c r="S10" s="230" t="s">
        <v>356</v>
      </c>
    </row>
    <row r="11" spans="1:19" ht="14.25" customHeight="1" x14ac:dyDescent="0.15">
      <c r="A11" s="217"/>
      <c r="B11" s="218" t="s">
        <v>357</v>
      </c>
      <c r="C11" s="218" t="s">
        <v>50</v>
      </c>
      <c r="D11" s="219" t="s">
        <v>358</v>
      </c>
      <c r="E11" s="231">
        <v>275</v>
      </c>
      <c r="F11" s="232">
        <v>472.6</v>
      </c>
      <c r="G11" s="230">
        <v>275.89999999999998</v>
      </c>
      <c r="H11" s="232">
        <v>451.7</v>
      </c>
      <c r="I11" s="232">
        <v>665.5</v>
      </c>
      <c r="J11" s="230">
        <v>426</v>
      </c>
      <c r="K11" s="230">
        <v>421.7</v>
      </c>
      <c r="L11" s="230">
        <v>626.20000000000005</v>
      </c>
      <c r="M11" s="230">
        <v>395.2</v>
      </c>
      <c r="N11" s="230">
        <v>425.7</v>
      </c>
      <c r="O11" s="230">
        <v>654.1</v>
      </c>
      <c r="P11" s="230">
        <v>453.9</v>
      </c>
      <c r="Q11" s="230">
        <v>252.3</v>
      </c>
      <c r="R11" s="230">
        <v>427.1</v>
      </c>
      <c r="S11" s="230">
        <v>258</v>
      </c>
    </row>
    <row r="12" spans="1:19" ht="14.25" customHeight="1" x14ac:dyDescent="0.15">
      <c r="A12" s="569" t="s">
        <v>17</v>
      </c>
      <c r="B12" s="228" t="s">
        <v>18</v>
      </c>
      <c r="C12" s="228" t="s">
        <v>19</v>
      </c>
      <c r="D12" s="168" t="s">
        <v>20</v>
      </c>
      <c r="E12" s="223">
        <v>1</v>
      </c>
      <c r="F12" s="225">
        <f t="shared" ref="F12:S12" si="0">+E12</f>
        <v>1</v>
      </c>
      <c r="G12" s="225">
        <f t="shared" si="0"/>
        <v>1</v>
      </c>
      <c r="H12" s="225">
        <f t="shared" si="0"/>
        <v>1</v>
      </c>
      <c r="I12" s="225">
        <f t="shared" si="0"/>
        <v>1</v>
      </c>
      <c r="J12" s="225">
        <f t="shared" si="0"/>
        <v>1</v>
      </c>
      <c r="K12" s="225">
        <f t="shared" si="0"/>
        <v>1</v>
      </c>
      <c r="L12" s="225">
        <f t="shared" si="0"/>
        <v>1</v>
      </c>
      <c r="M12" s="225">
        <f t="shared" si="0"/>
        <v>1</v>
      </c>
      <c r="N12" s="225">
        <f t="shared" si="0"/>
        <v>1</v>
      </c>
      <c r="O12" s="225">
        <f t="shared" si="0"/>
        <v>1</v>
      </c>
      <c r="P12" s="225">
        <f t="shared" si="0"/>
        <v>1</v>
      </c>
      <c r="Q12" s="225">
        <f t="shared" si="0"/>
        <v>1</v>
      </c>
      <c r="R12" s="225">
        <f t="shared" si="0"/>
        <v>1</v>
      </c>
      <c r="S12" s="225">
        <f t="shared" si="0"/>
        <v>1</v>
      </c>
    </row>
    <row r="13" spans="1:19" ht="14.25" customHeight="1" x14ac:dyDescent="0.15">
      <c r="A13" s="549"/>
      <c r="B13" s="183" t="s">
        <v>23</v>
      </c>
      <c r="C13" s="183" t="s">
        <v>24</v>
      </c>
      <c r="D13" s="169" t="s">
        <v>20</v>
      </c>
      <c r="E13" s="224">
        <v>1</v>
      </c>
      <c r="F13" s="226">
        <f t="shared" ref="F13:S13" si="1">+E13</f>
        <v>1</v>
      </c>
      <c r="G13" s="226">
        <f t="shared" si="1"/>
        <v>1</v>
      </c>
      <c r="H13" s="226">
        <f t="shared" si="1"/>
        <v>1</v>
      </c>
      <c r="I13" s="226">
        <f t="shared" si="1"/>
        <v>1</v>
      </c>
      <c r="J13" s="226">
        <f t="shared" si="1"/>
        <v>1</v>
      </c>
      <c r="K13" s="226">
        <f t="shared" si="1"/>
        <v>1</v>
      </c>
      <c r="L13" s="226">
        <f t="shared" si="1"/>
        <v>1</v>
      </c>
      <c r="M13" s="226">
        <f t="shared" si="1"/>
        <v>1</v>
      </c>
      <c r="N13" s="226">
        <f t="shared" si="1"/>
        <v>1</v>
      </c>
      <c r="O13" s="226">
        <f t="shared" si="1"/>
        <v>1</v>
      </c>
      <c r="P13" s="226">
        <f t="shared" si="1"/>
        <v>1</v>
      </c>
      <c r="Q13" s="226">
        <f t="shared" si="1"/>
        <v>1</v>
      </c>
      <c r="R13" s="226">
        <f t="shared" si="1"/>
        <v>1</v>
      </c>
      <c r="S13" s="226">
        <f t="shared" si="1"/>
        <v>1</v>
      </c>
    </row>
    <row r="14" spans="1:19" ht="14.25" customHeight="1" x14ac:dyDescent="0.15">
      <c r="A14" s="549"/>
      <c r="B14" s="183" t="s">
        <v>25</v>
      </c>
      <c r="C14" s="238" t="s">
        <v>26</v>
      </c>
      <c r="D14" s="169" t="s">
        <v>20</v>
      </c>
      <c r="E14" s="197">
        <v>8</v>
      </c>
      <c r="F14" s="198">
        <f t="shared" ref="F14:S14" si="2">+E14</f>
        <v>8</v>
      </c>
      <c r="G14" s="198">
        <f t="shared" si="2"/>
        <v>8</v>
      </c>
      <c r="H14" s="198">
        <f t="shared" si="2"/>
        <v>8</v>
      </c>
      <c r="I14" s="198">
        <f t="shared" si="2"/>
        <v>8</v>
      </c>
      <c r="J14" s="198">
        <f t="shared" si="2"/>
        <v>8</v>
      </c>
      <c r="K14" s="198">
        <f t="shared" si="2"/>
        <v>8</v>
      </c>
      <c r="L14" s="198">
        <f t="shared" si="2"/>
        <v>8</v>
      </c>
      <c r="M14" s="198">
        <f t="shared" si="2"/>
        <v>8</v>
      </c>
      <c r="N14" s="198">
        <f t="shared" si="2"/>
        <v>8</v>
      </c>
      <c r="O14" s="198">
        <f t="shared" si="2"/>
        <v>8</v>
      </c>
      <c r="P14" s="198">
        <f t="shared" si="2"/>
        <v>8</v>
      </c>
      <c r="Q14" s="198">
        <f t="shared" si="2"/>
        <v>8</v>
      </c>
      <c r="R14" s="198">
        <f t="shared" si="2"/>
        <v>8</v>
      </c>
      <c r="S14" s="198">
        <f t="shared" si="2"/>
        <v>8</v>
      </c>
    </row>
    <row r="15" spans="1:19" ht="14.25" customHeight="1" x14ac:dyDescent="0.15">
      <c r="A15" s="545"/>
      <c r="B15" s="234" t="s">
        <v>29</v>
      </c>
      <c r="C15" s="200" t="s">
        <v>30</v>
      </c>
      <c r="D15" s="171" t="s">
        <v>31</v>
      </c>
      <c r="E15" s="233">
        <f>+水平!N31</f>
        <v>1100</v>
      </c>
      <c r="F15" s="234">
        <f>+水平!O31</f>
        <v>800</v>
      </c>
      <c r="G15" s="234">
        <f>+水平!P31</f>
        <v>800</v>
      </c>
      <c r="H15" s="234">
        <f>+水平!Q31</f>
        <v>800</v>
      </c>
      <c r="I15" s="235">
        <f>+水平!R31</f>
        <v>800</v>
      </c>
      <c r="J15" s="235"/>
      <c r="K15" s="201"/>
      <c r="L15" s="201"/>
    </row>
    <row r="16" spans="1:19" ht="14.25" customHeight="1" x14ac:dyDescent="0.15">
      <c r="A16" s="569" t="s">
        <v>34</v>
      </c>
      <c r="B16" s="239" t="s">
        <v>35</v>
      </c>
      <c r="C16" s="239" t="s">
        <v>36</v>
      </c>
      <c r="D16" s="202" t="s">
        <v>31</v>
      </c>
      <c r="E16" s="194">
        <v>0</v>
      </c>
      <c r="F16" s="195">
        <v>0</v>
      </c>
      <c r="G16" s="196">
        <v>0</v>
      </c>
      <c r="H16" s="195">
        <v>0</v>
      </c>
      <c r="I16" s="195">
        <v>0</v>
      </c>
      <c r="J16" s="196"/>
      <c r="K16" s="342"/>
      <c r="L16" s="342"/>
    </row>
    <row r="17" spans="1:19" ht="14.25" customHeight="1" x14ac:dyDescent="0.15">
      <c r="A17" s="549"/>
      <c r="B17" s="238" t="s">
        <v>39</v>
      </c>
      <c r="C17" s="238" t="s">
        <v>40</v>
      </c>
      <c r="D17" s="169" t="s">
        <v>41</v>
      </c>
      <c r="E17" s="343">
        <f>15+SQRT(20*E19)</f>
        <v>15</v>
      </c>
      <c r="F17" s="344">
        <f>15+SQRT(20*F19)</f>
        <v>15</v>
      </c>
      <c r="G17" s="345">
        <f>15+SQRT(20*G19)</f>
        <v>15</v>
      </c>
      <c r="H17" s="344">
        <f>15+SQRT(20*H19)</f>
        <v>15</v>
      </c>
      <c r="I17" s="344">
        <f>15+SQRT(20*I19)</f>
        <v>15</v>
      </c>
      <c r="J17" s="346"/>
      <c r="K17" s="201"/>
      <c r="L17" s="201"/>
    </row>
    <row r="18" spans="1:19" ht="14.25" customHeight="1" x14ac:dyDescent="0.15">
      <c r="A18" s="549"/>
      <c r="B18" s="238" t="s">
        <v>44</v>
      </c>
      <c r="C18" s="238" t="s">
        <v>45</v>
      </c>
      <c r="D18" s="203" t="s">
        <v>46</v>
      </c>
      <c r="E18" s="197"/>
      <c r="F18" s="198"/>
      <c r="G18" s="199"/>
      <c r="H18" s="198"/>
      <c r="I18" s="198"/>
      <c r="J18" s="199"/>
      <c r="K18" s="201"/>
      <c r="L18" s="201"/>
      <c r="M18" s="32"/>
      <c r="N18" s="32"/>
      <c r="O18" s="32"/>
      <c r="P18" s="32"/>
      <c r="Q18" s="32"/>
      <c r="R18" s="32"/>
      <c r="S18" s="32"/>
    </row>
    <row r="19" spans="1:19" ht="14.25" customHeight="1" x14ac:dyDescent="0.15">
      <c r="A19" s="549"/>
      <c r="B19" s="238" t="s">
        <v>49</v>
      </c>
      <c r="C19" s="238" t="s">
        <v>50</v>
      </c>
      <c r="D19" s="169"/>
      <c r="E19" s="197"/>
      <c r="F19" s="198"/>
      <c r="G19" s="204"/>
      <c r="H19" s="198"/>
      <c r="I19" s="198"/>
      <c r="J19" s="199"/>
    </row>
    <row r="20" spans="1:19" ht="14.25" customHeight="1" x14ac:dyDescent="0.15">
      <c r="A20" s="549"/>
      <c r="B20" s="238" t="s">
        <v>53</v>
      </c>
      <c r="C20" s="238" t="s">
        <v>54</v>
      </c>
      <c r="D20" s="169" t="s">
        <v>20</v>
      </c>
      <c r="E20" s="347">
        <v>1</v>
      </c>
      <c r="F20" s="348">
        <v>1</v>
      </c>
      <c r="G20" s="349">
        <v>1</v>
      </c>
      <c r="H20" s="348">
        <v>2</v>
      </c>
      <c r="I20" s="348">
        <v>1</v>
      </c>
      <c r="J20" s="349"/>
    </row>
    <row r="21" spans="1:19" ht="14.25" customHeight="1" x14ac:dyDescent="0.15">
      <c r="A21" s="549"/>
      <c r="B21" s="238" t="s">
        <v>57</v>
      </c>
      <c r="C21" s="238" t="s">
        <v>58</v>
      </c>
      <c r="D21" s="169" t="s">
        <v>20</v>
      </c>
      <c r="E21" s="347">
        <v>1</v>
      </c>
      <c r="F21" s="348">
        <v>2</v>
      </c>
      <c r="G21" s="349">
        <v>3</v>
      </c>
      <c r="H21" s="348">
        <v>3</v>
      </c>
      <c r="I21" s="348">
        <v>3</v>
      </c>
      <c r="J21" s="349"/>
    </row>
    <row r="22" spans="1:19" ht="14.25" customHeight="1" x14ac:dyDescent="0.15">
      <c r="A22" s="549"/>
      <c r="B22" s="238" t="s">
        <v>61</v>
      </c>
      <c r="C22" s="238" t="s">
        <v>62</v>
      </c>
      <c r="D22" s="169" t="s">
        <v>63</v>
      </c>
      <c r="E22" s="197">
        <v>1</v>
      </c>
      <c r="F22" s="198">
        <v>2</v>
      </c>
      <c r="G22" s="199">
        <v>3</v>
      </c>
      <c r="H22" s="198">
        <v>6</v>
      </c>
      <c r="I22" s="198">
        <v>3</v>
      </c>
      <c r="J22" s="199"/>
    </row>
    <row r="23" spans="1:19" ht="14.25" customHeight="1" x14ac:dyDescent="0.15">
      <c r="A23" s="549"/>
      <c r="B23" s="238" t="s">
        <v>64</v>
      </c>
      <c r="C23" s="238" t="s">
        <v>65</v>
      </c>
      <c r="D23" s="169" t="s">
        <v>66</v>
      </c>
      <c r="E23" s="350">
        <f>(E12/2)^2*PI()</f>
        <v>0.78539816339744828</v>
      </c>
      <c r="F23" s="351">
        <f>(F12/2)^2*PI()</f>
        <v>0.78539816339744828</v>
      </c>
      <c r="G23" s="352">
        <f>(G12/2)^2*PI()</f>
        <v>0.78539816339744828</v>
      </c>
      <c r="H23" s="351">
        <f>(H12/2)^2*PI()</f>
        <v>0.78539816339744828</v>
      </c>
      <c r="I23" s="351">
        <f>(I12/2)^2*PI()</f>
        <v>0.78539816339744828</v>
      </c>
      <c r="J23" s="352"/>
    </row>
    <row r="24" spans="1:19" ht="14.25" customHeight="1" x14ac:dyDescent="0.15">
      <c r="A24" s="549"/>
      <c r="B24" s="238" t="s">
        <v>69</v>
      </c>
      <c r="C24" s="238" t="s">
        <v>70</v>
      </c>
      <c r="D24" s="169" t="s">
        <v>66</v>
      </c>
      <c r="E24" s="353">
        <v>2</v>
      </c>
      <c r="F24" s="354">
        <v>2</v>
      </c>
      <c r="G24" s="355">
        <v>2</v>
      </c>
      <c r="H24" s="354">
        <v>2</v>
      </c>
      <c r="I24" s="354">
        <v>3</v>
      </c>
      <c r="J24" s="355">
        <v>2</v>
      </c>
      <c r="K24">
        <v>2</v>
      </c>
      <c r="L24">
        <v>3</v>
      </c>
      <c r="M24">
        <v>2</v>
      </c>
      <c r="N24">
        <v>2</v>
      </c>
      <c r="O24">
        <v>3</v>
      </c>
      <c r="P24">
        <v>2</v>
      </c>
      <c r="Q24">
        <v>2</v>
      </c>
      <c r="R24">
        <v>2</v>
      </c>
      <c r="S24">
        <v>2</v>
      </c>
    </row>
    <row r="25" spans="1:19" ht="14.25" customHeight="1" x14ac:dyDescent="0.15">
      <c r="A25" s="549"/>
      <c r="B25" s="238" t="s">
        <v>73</v>
      </c>
      <c r="C25" s="238" t="s">
        <v>74</v>
      </c>
      <c r="D25" s="169" t="s">
        <v>66</v>
      </c>
      <c r="E25" s="355">
        <f>E24</f>
        <v>2</v>
      </c>
      <c r="F25" s="354">
        <f>F24</f>
        <v>2</v>
      </c>
      <c r="G25" s="355">
        <f>G24</f>
        <v>2</v>
      </c>
      <c r="H25" s="354">
        <f>H24</f>
        <v>2</v>
      </c>
      <c r="I25" s="354">
        <f>I24</f>
        <v>3</v>
      </c>
      <c r="J25" s="355"/>
    </row>
    <row r="26" spans="1:19" ht="14.25" customHeight="1" x14ac:dyDescent="0.15">
      <c r="A26" s="549"/>
      <c r="B26" s="238" t="s">
        <v>77</v>
      </c>
      <c r="C26" s="238" t="s">
        <v>78</v>
      </c>
      <c r="D26" s="169" t="s">
        <v>66</v>
      </c>
      <c r="E26" s="356">
        <f>E23*E22</f>
        <v>0.78539816339744828</v>
      </c>
      <c r="F26" s="357">
        <f>F23*F22</f>
        <v>1.5707963267948966</v>
      </c>
      <c r="G26" s="358">
        <f>G23*G22</f>
        <v>2.3561944901923448</v>
      </c>
      <c r="H26" s="357">
        <f>H23*H22</f>
        <v>4.7123889803846897</v>
      </c>
      <c r="I26" s="357">
        <f>I23*I22</f>
        <v>2.3561944901923448</v>
      </c>
      <c r="J26" s="358"/>
    </row>
    <row r="27" spans="1:19" ht="14.25" customHeight="1" x14ac:dyDescent="0.15">
      <c r="A27" s="549"/>
      <c r="B27" s="238" t="s">
        <v>81</v>
      </c>
      <c r="C27" s="238" t="s">
        <v>82</v>
      </c>
      <c r="D27" s="203" t="s">
        <v>46</v>
      </c>
      <c r="E27" s="197">
        <v>6</v>
      </c>
      <c r="F27" s="198">
        <v>6</v>
      </c>
      <c r="G27" s="199">
        <v>6</v>
      </c>
      <c r="H27" s="198">
        <v>6</v>
      </c>
      <c r="I27" s="198">
        <v>6</v>
      </c>
      <c r="J27" s="199"/>
    </row>
    <row r="28" spans="1:19" ht="14.25" customHeight="1" x14ac:dyDescent="0.15">
      <c r="A28" s="549"/>
      <c r="B28" s="238" t="s">
        <v>84</v>
      </c>
      <c r="C28" s="238" t="s">
        <v>85</v>
      </c>
      <c r="D28" s="169" t="s">
        <v>20</v>
      </c>
      <c r="E28" s="197">
        <v>10</v>
      </c>
      <c r="F28" s="198">
        <v>10</v>
      </c>
      <c r="G28" s="198">
        <v>10</v>
      </c>
      <c r="H28" s="198">
        <v>10</v>
      </c>
      <c r="I28" s="198">
        <v>10</v>
      </c>
      <c r="J28" s="199"/>
      <c r="K28" s="230"/>
      <c r="L28" s="230"/>
    </row>
    <row r="29" spans="1:19" ht="14.25" customHeight="1" x14ac:dyDescent="0.15">
      <c r="A29" s="549"/>
      <c r="B29" s="238" t="s">
        <v>86</v>
      </c>
      <c r="C29" s="238" t="s">
        <v>87</v>
      </c>
      <c r="D29" s="203" t="s">
        <v>88</v>
      </c>
      <c r="E29" s="356" t="e">
        <f>(E30*#REF!+E31*#REF!)</f>
        <v>#REF!</v>
      </c>
      <c r="F29" s="357" t="e">
        <f>(F30*#REF!+F31*#REF!)</f>
        <v>#REF!</v>
      </c>
      <c r="G29" s="358" t="e">
        <f>(G30*#REF!+G31*#REF!)</f>
        <v>#REF!</v>
      </c>
      <c r="H29" s="357" t="e">
        <f>(H30*#REF!+H31*#REF!)</f>
        <v>#REF!</v>
      </c>
      <c r="I29" s="357" t="e">
        <f>(I30*#REF!+I31*#REF!)</f>
        <v>#REF!</v>
      </c>
      <c r="J29" s="358"/>
      <c r="K29" s="201"/>
      <c r="L29" s="201"/>
    </row>
    <row r="30" spans="1:19" ht="14.25" customHeight="1" x14ac:dyDescent="0.15">
      <c r="A30" s="549"/>
      <c r="B30" s="570" t="s">
        <v>91</v>
      </c>
      <c r="C30" s="238" t="s">
        <v>92</v>
      </c>
      <c r="D30" s="203" t="s">
        <v>31</v>
      </c>
      <c r="E30" s="356" t="e">
        <f>#REF!</f>
        <v>#REF!</v>
      </c>
      <c r="F30" s="357" t="e">
        <f>#REF!</f>
        <v>#REF!</v>
      </c>
      <c r="G30" s="358" t="e">
        <f>#REF!</f>
        <v>#REF!</v>
      </c>
      <c r="H30" s="357" t="e">
        <f>#REF!</f>
        <v>#REF!</v>
      </c>
      <c r="I30" s="357" t="e">
        <f>#REF!</f>
        <v>#REF!</v>
      </c>
      <c r="J30" s="358"/>
      <c r="K30" s="201"/>
      <c r="L30" s="201"/>
    </row>
    <row r="31" spans="1:19" ht="14.25" customHeight="1" x14ac:dyDescent="0.15">
      <c r="A31" s="549"/>
      <c r="B31" s="557"/>
      <c r="C31" s="238" t="s">
        <v>96</v>
      </c>
      <c r="D31" s="203" t="s">
        <v>31</v>
      </c>
      <c r="E31" s="356" t="e">
        <f>#REF!</f>
        <v>#REF!</v>
      </c>
      <c r="F31" s="357" t="e">
        <f>#REF!</f>
        <v>#REF!</v>
      </c>
      <c r="G31" s="358" t="e">
        <f>#REF!</f>
        <v>#REF!</v>
      </c>
      <c r="H31" s="357" t="e">
        <f>#REF!</f>
        <v>#REF!</v>
      </c>
      <c r="I31" s="357" t="e">
        <f>#REF!</f>
        <v>#REF!</v>
      </c>
      <c r="J31" s="358"/>
      <c r="K31" s="201"/>
      <c r="L31" s="201"/>
    </row>
    <row r="32" spans="1:19" ht="14.25" customHeight="1" x14ac:dyDescent="0.15">
      <c r="A32" s="549"/>
      <c r="B32" s="571" t="s">
        <v>99</v>
      </c>
      <c r="C32" s="238" t="s">
        <v>100</v>
      </c>
      <c r="D32" s="169"/>
      <c r="E32" s="356">
        <f>VLOOKUP(E17,Sheet3!$N$4:$Q$44,2)</f>
        <v>10.97650874664942</v>
      </c>
      <c r="F32" s="357">
        <f>VLOOKUP(F17,Sheet3!$N$4:$Q$44,2)</f>
        <v>10.97650874664942</v>
      </c>
      <c r="G32" s="358">
        <f>VLOOKUP(G17,Sheet3!$N$4:$Q$44,2)</f>
        <v>10.97650874664942</v>
      </c>
      <c r="H32" s="357">
        <f>VLOOKUP(H17,Sheet3!$N$4:$Q$44,2)</f>
        <v>10.97650874664942</v>
      </c>
      <c r="I32" s="357">
        <f>VLOOKUP(I17,Sheet3!$N$4:$Q$44,2)</f>
        <v>10.97650874664942</v>
      </c>
      <c r="J32" s="358"/>
      <c r="K32" s="201"/>
      <c r="L32" s="201"/>
    </row>
    <row r="33" spans="1:12" ht="14.25" customHeight="1" x14ac:dyDescent="0.15">
      <c r="A33" s="549"/>
      <c r="B33" s="559"/>
      <c r="C33" s="238" t="s">
        <v>101</v>
      </c>
      <c r="D33" s="169"/>
      <c r="E33" s="356">
        <f>VLOOKUP(E17,Sheet3!$N$4:$Q$44,3)</f>
        <v>1.1290004223804013</v>
      </c>
      <c r="F33" s="357">
        <f>VLOOKUP(F17,Sheet3!$N$4:$Q$44,3)</f>
        <v>1.1290004223804013</v>
      </c>
      <c r="G33" s="358">
        <f>VLOOKUP(G17,Sheet3!$N$4:$Q$44,3)</f>
        <v>1.1290004223804013</v>
      </c>
      <c r="H33" s="357">
        <f>VLOOKUP(H17,Sheet3!$N$4:$Q$44,3)</f>
        <v>1.1290004223804013</v>
      </c>
      <c r="I33" s="357">
        <f>VLOOKUP(I17,Sheet3!$N$4:$Q$44,3)</f>
        <v>1.1290004223804013</v>
      </c>
      <c r="J33" s="358"/>
      <c r="K33" s="201"/>
      <c r="L33" s="201"/>
    </row>
    <row r="34" spans="1:12" ht="14.25" customHeight="1" x14ac:dyDescent="0.15">
      <c r="A34" s="545"/>
      <c r="B34" s="560"/>
      <c r="C34" s="200" t="s">
        <v>103</v>
      </c>
      <c r="D34" s="171"/>
      <c r="E34" s="359">
        <f>VLOOKUP(E17,Sheet3!$N$4:$Q$44,4)</f>
        <v>3.9411466543778668</v>
      </c>
      <c r="F34" s="360">
        <f>VLOOKUP(F17,Sheet3!$N$4:$Q$44,4)</f>
        <v>3.9411466543778668</v>
      </c>
      <c r="G34" s="361">
        <f>VLOOKUP(G17,Sheet3!$N$4:$Q$44,4)</f>
        <v>3.9411466543778668</v>
      </c>
      <c r="H34" s="360">
        <f>VLOOKUP(H17,Sheet3!$N$4:$Q$44,4)</f>
        <v>3.9411466543778668</v>
      </c>
      <c r="I34" s="360">
        <f>VLOOKUP(I17,Sheet3!$N$4:$Q$44,4)</f>
        <v>3.9411466543778668</v>
      </c>
      <c r="J34" s="361"/>
      <c r="K34" s="230"/>
      <c r="L34" s="230"/>
    </row>
    <row r="35" spans="1:12" ht="14.25" customHeight="1" x14ac:dyDescent="0.15">
      <c r="A35" s="569" t="s">
        <v>106</v>
      </c>
      <c r="B35" s="573" t="s">
        <v>107</v>
      </c>
      <c r="C35" s="239" t="s">
        <v>108</v>
      </c>
      <c r="D35" s="202"/>
      <c r="E35" s="362">
        <f>1+0.2*E20/E21</f>
        <v>1.2</v>
      </c>
      <c r="F35" s="363">
        <f>1+0.2*F20/F21</f>
        <v>1.1000000000000001</v>
      </c>
      <c r="G35" s="364">
        <f>1+0.2*G20/G21</f>
        <v>1.0666666666666667</v>
      </c>
      <c r="H35" s="363">
        <f>1+0.2*H20/H21</f>
        <v>1.1333333333333333</v>
      </c>
      <c r="I35" s="363">
        <f>1+0.2*I20/I21</f>
        <v>1.0666666666666667</v>
      </c>
      <c r="J35" s="364"/>
      <c r="K35" s="201"/>
      <c r="L35" s="201"/>
    </row>
    <row r="36" spans="1:12" ht="14.25" customHeight="1" x14ac:dyDescent="0.15">
      <c r="A36" s="549"/>
      <c r="B36" s="557"/>
      <c r="C36" s="238" t="s">
        <v>111</v>
      </c>
      <c r="D36" s="203"/>
      <c r="E36" s="356">
        <f>0.5-0.2*E20/E21</f>
        <v>0.3</v>
      </c>
      <c r="F36" s="357">
        <f>0.5-0.2*F20/F21</f>
        <v>0.4</v>
      </c>
      <c r="G36" s="358">
        <f>0.5-0.2*G20/G21</f>
        <v>0.43333333333333335</v>
      </c>
      <c r="H36" s="357">
        <f>0.5-0.2*H20/H21</f>
        <v>0.3666666666666667</v>
      </c>
      <c r="I36" s="357">
        <f>0.5-0.2*I20/I21</f>
        <v>0.43333333333333335</v>
      </c>
      <c r="J36" s="358"/>
      <c r="K36" s="201"/>
      <c r="L36" s="201"/>
    </row>
    <row r="37" spans="1:12" ht="14.25" customHeight="1" x14ac:dyDescent="0.15">
      <c r="A37" s="549"/>
      <c r="B37" s="238" t="s">
        <v>114</v>
      </c>
      <c r="C37" s="238" t="s">
        <v>54</v>
      </c>
      <c r="D37" s="169" t="s">
        <v>20</v>
      </c>
      <c r="E37" s="353">
        <f>E20</f>
        <v>1</v>
      </c>
      <c r="F37" s="354">
        <f>F20</f>
        <v>1</v>
      </c>
      <c r="G37" s="355">
        <f>G20</f>
        <v>1</v>
      </c>
      <c r="H37" s="354">
        <f>H20</f>
        <v>2</v>
      </c>
      <c r="I37" s="354">
        <f>I20</f>
        <v>1</v>
      </c>
      <c r="J37" s="355"/>
      <c r="K37" s="201"/>
      <c r="L37" s="201"/>
    </row>
    <row r="38" spans="1:12" ht="14.25" customHeight="1" x14ac:dyDescent="0.15">
      <c r="A38" s="549"/>
      <c r="B38" s="238" t="s">
        <v>117</v>
      </c>
      <c r="C38" s="238" t="s">
        <v>118</v>
      </c>
      <c r="D38" s="203"/>
      <c r="E38" s="182">
        <v>1</v>
      </c>
      <c r="F38" s="183">
        <v>1</v>
      </c>
      <c r="G38" s="185">
        <v>1</v>
      </c>
      <c r="H38" s="183">
        <v>1</v>
      </c>
      <c r="I38" s="183">
        <v>1</v>
      </c>
      <c r="J38" s="185"/>
      <c r="K38" s="230"/>
      <c r="L38" s="230"/>
    </row>
    <row r="39" spans="1:12" ht="14.25" customHeight="1" x14ac:dyDescent="0.15">
      <c r="A39" s="549"/>
      <c r="B39" s="238" t="s">
        <v>121</v>
      </c>
      <c r="C39" s="238" t="s">
        <v>122</v>
      </c>
      <c r="D39" s="203" t="s">
        <v>31</v>
      </c>
      <c r="E39" s="365">
        <f>E38*E35*E16*E32+E38*E36*E18*E20*E33+E38*E27*E28*E34</f>
        <v>236.46879926267201</v>
      </c>
      <c r="F39" s="366">
        <f>F38*F35*F16*F32+F38*F36*F18*F20*F33+F38*F27*F28*F34</f>
        <v>236.46879926267201</v>
      </c>
      <c r="G39" s="367">
        <f>G38*G35*G16*G32+G38*G36*G18*G20*G33+G38*G27*G28*G34</f>
        <v>236.46879926267201</v>
      </c>
      <c r="H39" s="366">
        <f>H38*H35*H16*H32+H38*H36*H18*H20*H33+H38*H27*H28*H34</f>
        <v>236.46879926267201</v>
      </c>
      <c r="I39" s="366">
        <f>I38*I35*I16*I32+I38*I36*I18*I20*I33+I38*I27*I28*I34</f>
        <v>236.46879926267201</v>
      </c>
      <c r="J39" s="367"/>
      <c r="K39" s="201"/>
      <c r="L39" s="201"/>
    </row>
    <row r="40" spans="1:12" ht="14.25" customHeight="1" x14ac:dyDescent="0.15">
      <c r="A40" s="549"/>
      <c r="B40" s="238" t="s">
        <v>86</v>
      </c>
      <c r="C40" s="205" t="s">
        <v>125</v>
      </c>
      <c r="D40" s="203" t="s">
        <v>126</v>
      </c>
      <c r="E40" s="368" t="e">
        <f>E29*((E20+E21)*2-E12*4+E12*3.14)</f>
        <v>#REF!</v>
      </c>
      <c r="F40" s="369" t="e">
        <f>F29*((F20+F21)*2-F12*4+F12*3.14)</f>
        <v>#REF!</v>
      </c>
      <c r="G40" s="370" t="e">
        <f>G29*((G20+G21)*2-G12*4+G12*3.14)</f>
        <v>#REF!</v>
      </c>
      <c r="H40" s="369" t="e">
        <f>H29*((H20+H21)*2-H12*4+H12*3.14)</f>
        <v>#REF!</v>
      </c>
      <c r="I40" s="369" t="e">
        <f>I29*((I20+I21)*2-I12*4+I12*3.14)</f>
        <v>#REF!</v>
      </c>
      <c r="J40" s="370"/>
      <c r="K40" s="201"/>
      <c r="L40" s="201"/>
    </row>
    <row r="41" spans="1:12" ht="14.25" customHeight="1" x14ac:dyDescent="0.15">
      <c r="A41" s="545"/>
      <c r="B41" s="200" t="s">
        <v>129</v>
      </c>
      <c r="C41" s="200" t="s">
        <v>130</v>
      </c>
      <c r="D41" s="206" t="s">
        <v>31</v>
      </c>
      <c r="E41" s="371" t="e">
        <f>1/3*(E39*E25+E40)/E24</f>
        <v>#REF!</v>
      </c>
      <c r="F41" s="372" t="e">
        <f>1/3*(F39*F25+F40)/F24</f>
        <v>#REF!</v>
      </c>
      <c r="G41" s="373" t="e">
        <f>1/3*(G39*G25+G40)/G24</f>
        <v>#REF!</v>
      </c>
      <c r="H41" s="372" t="e">
        <f>1/3*(H39*H25+H40)/H24</f>
        <v>#REF!</v>
      </c>
      <c r="I41" s="372" t="e">
        <f>1/3*(I39*I25+I40)/I24</f>
        <v>#REF!</v>
      </c>
      <c r="J41" s="373"/>
      <c r="K41" s="374"/>
      <c r="L41" s="374"/>
    </row>
    <row r="42" spans="1:12" ht="14.25" customHeight="1" x14ac:dyDescent="0.15">
      <c r="A42" s="569" t="s">
        <v>133</v>
      </c>
      <c r="B42" s="239" t="s">
        <v>134</v>
      </c>
      <c r="C42" s="239" t="s">
        <v>135</v>
      </c>
      <c r="D42" s="202" t="s">
        <v>126</v>
      </c>
      <c r="E42" s="375">
        <f>75*E19*E23</f>
        <v>0</v>
      </c>
      <c r="F42" s="376">
        <f>75*F19*F23</f>
        <v>0</v>
      </c>
      <c r="G42" s="377">
        <f>75*G19*G23</f>
        <v>0</v>
      </c>
      <c r="H42" s="376">
        <f>75*H19*H23</f>
        <v>0</v>
      </c>
      <c r="I42" s="376">
        <f>75*I19*I23</f>
        <v>0</v>
      </c>
      <c r="J42" s="377"/>
      <c r="K42" s="201"/>
      <c r="L42" s="201"/>
    </row>
    <row r="43" spans="1:12" ht="14.25" customHeight="1" x14ac:dyDescent="0.15">
      <c r="A43" s="549"/>
      <c r="B43" s="238" t="s">
        <v>86</v>
      </c>
      <c r="C43" s="205" t="s">
        <v>138</v>
      </c>
      <c r="D43" s="207" t="s">
        <v>126</v>
      </c>
      <c r="E43" s="378" t="e">
        <f>E29*E12*3.14</f>
        <v>#REF!</v>
      </c>
      <c r="F43" s="379" t="e">
        <f>F29*F12*3.14</f>
        <v>#REF!</v>
      </c>
      <c r="G43" s="380" t="e">
        <f>G29*G12*3.14</f>
        <v>#REF!</v>
      </c>
      <c r="H43" s="379" t="e">
        <f>H29*H12*3.14</f>
        <v>#REF!</v>
      </c>
      <c r="I43" s="379" t="e">
        <f>I29*I12*3.14</f>
        <v>#REF!</v>
      </c>
      <c r="J43" s="380"/>
      <c r="K43" s="381"/>
      <c r="L43" s="381"/>
    </row>
    <row r="44" spans="1:12" ht="14.25" customHeight="1" x14ac:dyDescent="0.15">
      <c r="A44" s="549"/>
      <c r="B44" s="238" t="s">
        <v>140</v>
      </c>
      <c r="C44" s="238" t="s">
        <v>141</v>
      </c>
      <c r="D44" s="203" t="s">
        <v>126</v>
      </c>
      <c r="E44" s="343" t="e">
        <f>E42+E43</f>
        <v>#REF!</v>
      </c>
      <c r="F44" s="344" t="e">
        <f>F42+F43</f>
        <v>#REF!</v>
      </c>
      <c r="G44" s="346" t="e">
        <f>G42+G43</f>
        <v>#REF!</v>
      </c>
      <c r="H44" s="344" t="e">
        <f>H42+H43</f>
        <v>#REF!</v>
      </c>
      <c r="I44" s="344" t="e">
        <f>I42+I43</f>
        <v>#REF!</v>
      </c>
      <c r="J44" s="346"/>
      <c r="K44" s="230"/>
      <c r="L44" s="230"/>
    </row>
    <row r="45" spans="1:12" ht="14.25" customHeight="1" x14ac:dyDescent="0.15">
      <c r="A45" s="545"/>
      <c r="B45" s="200" t="s">
        <v>129</v>
      </c>
      <c r="C45" s="200" t="s">
        <v>144</v>
      </c>
      <c r="D45" s="206" t="s">
        <v>31</v>
      </c>
      <c r="E45" s="382" t="e">
        <f>1/3*E25*E44/E24</f>
        <v>#REF!</v>
      </c>
      <c r="F45" s="383" t="e">
        <f>1/3*F25*F44/F24</f>
        <v>#REF!</v>
      </c>
      <c r="G45" s="384" t="e">
        <f>1/3*G25*G44/G24</f>
        <v>#REF!</v>
      </c>
      <c r="H45" s="383" t="e">
        <f>1/3*H25*H44/H24</f>
        <v>#REF!</v>
      </c>
      <c r="I45" s="383" t="e">
        <f>1/3*I25*I44/I24</f>
        <v>#REF!</v>
      </c>
      <c r="J45" s="384"/>
    </row>
    <row r="46" spans="1:12" ht="14.25" customHeight="1" x14ac:dyDescent="0.15">
      <c r="A46" s="569" t="s">
        <v>147</v>
      </c>
      <c r="B46" s="239" t="s">
        <v>129</v>
      </c>
      <c r="C46" s="239" t="s">
        <v>148</v>
      </c>
      <c r="D46" s="202" t="s">
        <v>31</v>
      </c>
      <c r="E46" s="385" t="e">
        <f>MIN(E41,E45)</f>
        <v>#REF!</v>
      </c>
      <c r="F46" s="386" t="e">
        <f>MIN(F41,F45)</f>
        <v>#REF!</v>
      </c>
      <c r="G46" s="387" t="e">
        <f>MIN(G41,G45)</f>
        <v>#REF!</v>
      </c>
      <c r="H46" s="386" t="e">
        <f>MIN(H41,H45)</f>
        <v>#REF!</v>
      </c>
      <c r="I46" s="386" t="e">
        <f>MIN(I41,I45)</f>
        <v>#REF!</v>
      </c>
      <c r="J46" s="387"/>
    </row>
    <row r="47" spans="1:12" ht="14.25" customHeight="1" x14ac:dyDescent="0.15">
      <c r="A47" s="545"/>
      <c r="B47" s="200" t="s">
        <v>150</v>
      </c>
      <c r="C47" s="200" t="s">
        <v>151</v>
      </c>
      <c r="D47" s="206" t="s">
        <v>31</v>
      </c>
      <c r="E47" s="388">
        <v>250</v>
      </c>
      <c r="F47" s="389">
        <v>250</v>
      </c>
      <c r="G47" s="390">
        <v>180</v>
      </c>
      <c r="H47" s="389">
        <v>180</v>
      </c>
      <c r="I47" s="389">
        <v>180</v>
      </c>
      <c r="J47" s="390"/>
    </row>
    <row r="48" spans="1:12" ht="14.25" customHeight="1" x14ac:dyDescent="0.15">
      <c r="A48" s="572" t="s">
        <v>153</v>
      </c>
      <c r="B48" s="547"/>
      <c r="C48" s="547"/>
      <c r="D48" s="548"/>
      <c r="E48" s="391" t="e">
        <f>E47/E46</f>
        <v>#REF!</v>
      </c>
      <c r="F48" s="392" t="e">
        <f>F47/F46</f>
        <v>#REF!</v>
      </c>
      <c r="G48" s="393" t="e">
        <f>G47/G46</f>
        <v>#REF!</v>
      </c>
      <c r="H48" s="392" t="e">
        <f>H47/H46</f>
        <v>#REF!</v>
      </c>
      <c r="I48" s="392" t="e">
        <f>I47/I46</f>
        <v>#REF!</v>
      </c>
      <c r="J48" s="393"/>
    </row>
    <row r="49" spans="1:10" ht="14.25" customHeight="1" x14ac:dyDescent="0.15">
      <c r="A49" s="569" t="s">
        <v>155</v>
      </c>
      <c r="B49" s="239" t="s">
        <v>80</v>
      </c>
      <c r="C49" s="239" t="s">
        <v>156</v>
      </c>
      <c r="D49" s="168"/>
      <c r="E49" s="227" t="e">
        <f>#REF!</f>
        <v>#REF!</v>
      </c>
      <c r="F49" s="228" t="e">
        <f>#REF!</f>
        <v>#REF!</v>
      </c>
      <c r="G49" s="229" t="e">
        <f>#REF!</f>
        <v>#REF!</v>
      </c>
      <c r="H49" s="228" t="e">
        <f>#REF!</f>
        <v>#REF!</v>
      </c>
      <c r="I49" s="228" t="e">
        <f>#REF!</f>
        <v>#REF!</v>
      </c>
      <c r="J49" s="229"/>
    </row>
    <row r="50" spans="1:10" ht="14.25" customHeight="1" x14ac:dyDescent="0.15">
      <c r="A50" s="549"/>
      <c r="B50" s="238" t="s">
        <v>158</v>
      </c>
      <c r="C50" s="238" t="s">
        <v>159</v>
      </c>
      <c r="D50" s="203" t="s">
        <v>31</v>
      </c>
      <c r="E50" s="343" t="e">
        <f>E15/E49</f>
        <v>#REF!</v>
      </c>
      <c r="F50" s="344" t="e">
        <f>F15/F49</f>
        <v>#REF!</v>
      </c>
      <c r="G50" s="346" t="e">
        <f>G15/G49</f>
        <v>#REF!</v>
      </c>
      <c r="H50" s="344" t="e">
        <f>H15/H49</f>
        <v>#REF!</v>
      </c>
      <c r="I50" s="344" t="e">
        <f>I15/I49</f>
        <v>#REF!</v>
      </c>
      <c r="J50" s="346"/>
    </row>
    <row r="51" spans="1:10" ht="14.25" customHeight="1" x14ac:dyDescent="0.15">
      <c r="A51" s="549"/>
      <c r="B51" s="238" t="s">
        <v>160</v>
      </c>
      <c r="C51" s="238" t="s">
        <v>161</v>
      </c>
      <c r="D51" s="169"/>
      <c r="E51" s="350">
        <f>E26/E24</f>
        <v>0.39269908169872414</v>
      </c>
      <c r="F51" s="351">
        <f>F26/F24</f>
        <v>0.78539816339744828</v>
      </c>
      <c r="G51" s="352">
        <f>G26/G24</f>
        <v>1.1780972450961724</v>
      </c>
      <c r="H51" s="351">
        <f>H26/H24</f>
        <v>2.3561944901923448</v>
      </c>
      <c r="I51" s="351">
        <f>I26/I24</f>
        <v>0.78539816339744828</v>
      </c>
      <c r="J51" s="352"/>
    </row>
    <row r="52" spans="1:10" ht="14.25" customHeight="1" x14ac:dyDescent="0.15">
      <c r="A52" s="549"/>
      <c r="B52" s="238" t="s">
        <v>163</v>
      </c>
      <c r="C52" s="238" t="s">
        <v>164</v>
      </c>
      <c r="D52" s="169"/>
      <c r="E52" s="356">
        <f>1/E51</f>
        <v>2.5464790894703255</v>
      </c>
      <c r="F52" s="357">
        <f>1/F51</f>
        <v>1.2732395447351628</v>
      </c>
      <c r="G52" s="358">
        <f>1/G51</f>
        <v>0.84882636315677518</v>
      </c>
      <c r="H52" s="357">
        <f>1/H51</f>
        <v>0.42441318157838759</v>
      </c>
      <c r="I52" s="357">
        <f>1/I51</f>
        <v>1.2732395447351628</v>
      </c>
      <c r="J52" s="358"/>
    </row>
    <row r="53" spans="1:10" ht="14.25" customHeight="1" x14ac:dyDescent="0.15">
      <c r="A53" s="545"/>
      <c r="B53" s="200" t="s">
        <v>170</v>
      </c>
      <c r="C53" s="200" t="s">
        <v>171</v>
      </c>
      <c r="D53" s="206" t="s">
        <v>31</v>
      </c>
      <c r="E53" s="382">
        <f>E52*E47</f>
        <v>636.61977236758139</v>
      </c>
      <c r="F53" s="383">
        <f>F52*F47</f>
        <v>318.3098861837907</v>
      </c>
      <c r="G53" s="384">
        <f>G52*G47</f>
        <v>152.78874536821954</v>
      </c>
      <c r="H53" s="383">
        <f>H52*H47</f>
        <v>76.394372684109769</v>
      </c>
      <c r="I53" s="383">
        <f>I52*I47</f>
        <v>229.18311805232929</v>
      </c>
      <c r="J53" s="384"/>
    </row>
    <row r="54" spans="1:10" ht="14.25" customHeight="1" x14ac:dyDescent="0.15">
      <c r="A54" s="572" t="s">
        <v>174</v>
      </c>
      <c r="B54" s="547"/>
      <c r="C54" s="547"/>
      <c r="D54" s="548"/>
      <c r="E54" s="391" t="e">
        <f>E53/E50</f>
        <v>#REF!</v>
      </c>
      <c r="F54" s="392" t="e">
        <f>F53/F50</f>
        <v>#REF!</v>
      </c>
      <c r="G54" s="393" t="e">
        <f>G53/G50</f>
        <v>#REF!</v>
      </c>
      <c r="H54" s="392" t="e">
        <f>H53/H50</f>
        <v>#REF!</v>
      </c>
      <c r="I54" s="392" t="e">
        <f>I53/I50</f>
        <v>#REF!</v>
      </c>
      <c r="J54" s="393"/>
    </row>
    <row r="55" spans="1:10" ht="14.25" customHeight="1" x14ac:dyDescent="0.15">
      <c r="B55" s="173"/>
      <c r="C55" s="230"/>
      <c r="D55" s="173"/>
    </row>
    <row r="56" spans="1:10" ht="14.25" customHeight="1" x14ac:dyDescent="0.15">
      <c r="B56" s="160"/>
      <c r="C56" s="230"/>
      <c r="E56" s="230"/>
      <c r="F56" s="230"/>
      <c r="G56" s="230"/>
      <c r="H56" s="230"/>
      <c r="I56" s="230"/>
      <c r="J56" s="230"/>
    </row>
    <row r="57" spans="1:10" ht="14.25" customHeight="1" x14ac:dyDescent="0.15">
      <c r="B57" s="160"/>
      <c r="C57" s="230"/>
      <c r="E57" s="201"/>
      <c r="F57" s="201"/>
      <c r="G57" s="201"/>
      <c r="H57" s="201"/>
      <c r="I57" s="201"/>
      <c r="J57" s="201"/>
    </row>
    <row r="58" spans="1:10" ht="14.25" customHeight="1" x14ac:dyDescent="0.15">
      <c r="B58" s="208"/>
      <c r="E58" s="201"/>
      <c r="F58" s="201"/>
      <c r="G58" s="201"/>
      <c r="H58" s="201"/>
      <c r="I58" s="201"/>
      <c r="J58" s="201"/>
    </row>
    <row r="59" spans="1:10" ht="14.25" customHeight="1" x14ac:dyDescent="0.15">
      <c r="B59" s="230"/>
      <c r="C59" s="230"/>
      <c r="D59" s="209"/>
      <c r="E59" s="394"/>
      <c r="F59" s="394"/>
      <c r="G59" s="394"/>
      <c r="H59" s="394"/>
      <c r="I59" s="394"/>
      <c r="J59" s="394"/>
    </row>
    <row r="60" spans="1:10" ht="14.25" customHeight="1" x14ac:dyDescent="0.15">
      <c r="B60" s="230"/>
      <c r="C60" s="230"/>
      <c r="D60" s="209"/>
      <c r="E60" s="394"/>
      <c r="F60" s="394"/>
      <c r="G60" s="394"/>
      <c r="H60" s="394"/>
      <c r="I60" s="394"/>
      <c r="J60" s="394"/>
    </row>
    <row r="61" spans="1:10" ht="14.25" customHeight="1" x14ac:dyDescent="0.15">
      <c r="B61" s="230"/>
      <c r="C61" s="230"/>
      <c r="D61" s="209"/>
      <c r="E61" s="394"/>
      <c r="F61" s="394"/>
      <c r="G61" s="394"/>
      <c r="H61" s="394"/>
      <c r="I61" s="394"/>
      <c r="J61" s="394"/>
    </row>
    <row r="62" spans="1:10" ht="14.25" customHeight="1" x14ac:dyDescent="0.15">
      <c r="B62" s="230"/>
      <c r="C62" s="230"/>
      <c r="D62" s="209"/>
      <c r="E62" s="394"/>
      <c r="F62" s="394"/>
      <c r="G62" s="394"/>
      <c r="H62" s="394"/>
      <c r="I62" s="394"/>
      <c r="J62" s="394"/>
    </row>
    <row r="63" spans="1:10" ht="14.25" customHeight="1" x14ac:dyDescent="0.15">
      <c r="B63" s="230"/>
      <c r="C63" s="230"/>
      <c r="D63" s="209"/>
      <c r="E63" s="395"/>
      <c r="F63" s="395"/>
      <c r="G63" s="395"/>
      <c r="H63" s="395"/>
      <c r="I63" s="395"/>
      <c r="J63" s="395"/>
    </row>
    <row r="64" spans="1:10" ht="14.25" customHeight="1" x14ac:dyDescent="0.15">
      <c r="B64" s="193"/>
      <c r="C64" s="230"/>
      <c r="D64" s="209"/>
      <c r="E64" s="395"/>
      <c r="F64" s="395"/>
      <c r="G64" s="395"/>
      <c r="H64" s="395"/>
      <c r="I64" s="395"/>
      <c r="J64" s="395"/>
    </row>
    <row r="65" spans="2:10" ht="14.25" customHeight="1" x14ac:dyDescent="0.15">
      <c r="B65" s="230"/>
      <c r="C65" s="230"/>
      <c r="D65" s="173"/>
      <c r="E65" s="230"/>
      <c r="F65" s="230"/>
      <c r="G65" s="230"/>
      <c r="H65" s="230"/>
      <c r="I65" s="230"/>
      <c r="J65" s="230"/>
    </row>
    <row r="66" spans="2:10" ht="14.25" customHeight="1" x14ac:dyDescent="0.15">
      <c r="D66" s="209"/>
      <c r="E66" s="381"/>
      <c r="F66" s="381"/>
      <c r="G66" s="381"/>
      <c r="H66" s="381"/>
      <c r="I66" s="381"/>
      <c r="J66" s="381"/>
    </row>
    <row r="67" spans="2:10" ht="14.25" customHeight="1" x14ac:dyDescent="0.15">
      <c r="B67" s="230"/>
      <c r="C67" s="230"/>
      <c r="D67" s="173"/>
      <c r="E67" s="230"/>
      <c r="F67" s="230"/>
      <c r="G67" s="230"/>
      <c r="H67" s="230"/>
      <c r="I67" s="230"/>
      <c r="J67" s="230"/>
    </row>
    <row r="68" spans="2:10" ht="14.25" customHeight="1" x14ac:dyDescent="0.15">
      <c r="B68" s="173"/>
      <c r="C68" s="230"/>
      <c r="D68" s="173"/>
    </row>
    <row r="69" spans="2:10" ht="14.25" customHeight="1" x14ac:dyDescent="0.15">
      <c r="B69" s="173"/>
      <c r="C69" s="230"/>
      <c r="D69" s="173"/>
    </row>
    <row r="70" spans="2:10" ht="14.25" customHeight="1" x14ac:dyDescent="0.15">
      <c r="B70" s="230"/>
      <c r="C70" s="230"/>
      <c r="D70" s="201"/>
    </row>
    <row r="71" spans="2:10" ht="14.25" customHeight="1" x14ac:dyDescent="0.15">
      <c r="B71" s="230"/>
      <c r="C71" s="230"/>
      <c r="D71" s="201"/>
    </row>
    <row r="72" spans="2:10" ht="14.25" customHeight="1" x14ac:dyDescent="0.15">
      <c r="B72" s="230"/>
      <c r="C72" s="230"/>
      <c r="D72" s="201"/>
    </row>
    <row r="73" spans="2:10" ht="14.25" customHeight="1" x14ac:dyDescent="0.15">
      <c r="B73" s="230"/>
      <c r="C73" s="230"/>
      <c r="D73" s="201"/>
    </row>
    <row r="74" spans="2:10" ht="14.25" customHeight="1" x14ac:dyDescent="0.15">
      <c r="B74" s="230"/>
      <c r="C74" s="230"/>
      <c r="D74" s="201"/>
    </row>
    <row r="75" spans="2:10" ht="14.25" customHeight="1" x14ac:dyDescent="0.15">
      <c r="B75" s="173"/>
      <c r="C75" s="230"/>
      <c r="D75" s="173"/>
    </row>
    <row r="76" spans="2:10" ht="14.25" customHeight="1" x14ac:dyDescent="0.15">
      <c r="B76" s="173"/>
      <c r="C76" s="230"/>
      <c r="D76" s="173"/>
      <c r="E76" s="230"/>
      <c r="F76" s="230"/>
      <c r="G76" s="230"/>
      <c r="H76" s="230"/>
      <c r="I76" s="230"/>
      <c r="J76" s="230"/>
    </row>
    <row r="77" spans="2:10" ht="14.25" customHeight="1" x14ac:dyDescent="0.15">
      <c r="B77" s="230"/>
      <c r="C77" s="230"/>
      <c r="D77" s="209"/>
      <c r="E77" s="201"/>
      <c r="F77" s="201"/>
      <c r="G77" s="201"/>
      <c r="H77" s="201"/>
      <c r="I77" s="201"/>
      <c r="J77" s="201"/>
    </row>
    <row r="78" spans="2:10" ht="14.25" customHeight="1" x14ac:dyDescent="0.15">
      <c r="B78" s="230"/>
      <c r="C78" s="230"/>
      <c r="D78" s="209"/>
      <c r="E78" s="201"/>
      <c r="F78" s="201"/>
      <c r="G78" s="201"/>
      <c r="H78" s="201"/>
      <c r="I78" s="201"/>
      <c r="J78" s="201"/>
    </row>
    <row r="79" spans="2:10" ht="14.25" customHeight="1" x14ac:dyDescent="0.15">
      <c r="B79" s="230"/>
      <c r="C79" s="230"/>
      <c r="D79" s="209"/>
      <c r="E79" s="201"/>
      <c r="F79" s="201"/>
      <c r="G79" s="201"/>
      <c r="H79" s="201"/>
      <c r="I79" s="201"/>
      <c r="J79" s="201"/>
    </row>
    <row r="80" spans="2:10" ht="14.25" customHeight="1" x14ac:dyDescent="0.15">
      <c r="B80" s="230"/>
      <c r="C80" s="230"/>
      <c r="D80" s="209"/>
      <c r="E80" s="201"/>
      <c r="F80" s="201"/>
      <c r="G80" s="201"/>
      <c r="H80" s="201"/>
      <c r="I80" s="201"/>
      <c r="J80" s="201"/>
    </row>
    <row r="81" spans="2:10" ht="14.25" customHeight="1" x14ac:dyDescent="0.15">
      <c r="B81" s="193"/>
      <c r="C81" s="230"/>
      <c r="D81" s="210"/>
      <c r="E81" s="201"/>
      <c r="F81" s="201"/>
      <c r="G81" s="201"/>
      <c r="H81" s="201"/>
      <c r="I81" s="201"/>
      <c r="J81" s="201"/>
    </row>
    <row r="82" spans="2:10" ht="14.25" customHeight="1" x14ac:dyDescent="0.15">
      <c r="B82" s="230"/>
      <c r="C82" s="230"/>
      <c r="D82" s="209"/>
      <c r="E82" s="394"/>
      <c r="F82" s="394"/>
      <c r="G82" s="394"/>
      <c r="H82" s="394"/>
      <c r="I82" s="394"/>
      <c r="J82" s="394"/>
    </row>
    <row r="83" spans="2:10" ht="14.25" customHeight="1" x14ac:dyDescent="0.15">
      <c r="B83" s="230"/>
      <c r="C83" s="230"/>
      <c r="D83" s="209"/>
      <c r="E83" s="395"/>
      <c r="F83" s="395"/>
      <c r="G83" s="395"/>
      <c r="H83" s="395"/>
      <c r="I83" s="395"/>
      <c r="J83" s="395"/>
    </row>
    <row r="84" spans="2:10" ht="14.25" customHeight="1" x14ac:dyDescent="0.15">
      <c r="B84" s="193"/>
      <c r="C84" s="230"/>
      <c r="D84" s="209"/>
      <c r="E84" s="395"/>
      <c r="F84" s="395"/>
      <c r="G84" s="395"/>
      <c r="H84" s="395"/>
      <c r="I84" s="395"/>
      <c r="J84" s="395"/>
    </row>
    <row r="85" spans="2:10" ht="14.25" customHeight="1" x14ac:dyDescent="0.15">
      <c r="B85" s="230"/>
      <c r="C85" s="230"/>
      <c r="D85" s="173"/>
      <c r="E85" s="230"/>
      <c r="F85" s="230"/>
      <c r="G85" s="230"/>
      <c r="H85" s="230"/>
      <c r="I85" s="230"/>
      <c r="J85" s="230"/>
    </row>
    <row r="86" spans="2:10" ht="14.25" customHeight="1" x14ac:dyDescent="0.15">
      <c r="D86" s="209"/>
      <c r="E86" s="381"/>
      <c r="F86" s="381"/>
      <c r="G86" s="381"/>
      <c r="H86" s="381"/>
      <c r="I86" s="381"/>
      <c r="J86" s="381"/>
    </row>
    <row r="87" spans="2:10" ht="14.25" customHeight="1" x14ac:dyDescent="0.15">
      <c r="B87" s="230"/>
      <c r="C87" s="230"/>
      <c r="D87" s="173"/>
      <c r="E87" s="230"/>
      <c r="F87" s="230"/>
      <c r="G87" s="230"/>
      <c r="H87" s="230"/>
      <c r="I87" s="230"/>
      <c r="J87" s="230"/>
    </row>
    <row r="88" spans="2:10" ht="14.25" customHeight="1" x14ac:dyDescent="0.15">
      <c r="B88" s="173"/>
      <c r="C88" s="230"/>
      <c r="D88" s="173"/>
    </row>
    <row r="89" spans="2:10" ht="14.25" customHeight="1" x14ac:dyDescent="0.15">
      <c r="B89" s="173"/>
      <c r="C89" s="230"/>
      <c r="D89" s="173"/>
    </row>
    <row r="90" spans="2:10" ht="14.25" customHeight="1" x14ac:dyDescent="0.15">
      <c r="B90" s="230"/>
      <c r="C90" s="230"/>
      <c r="D90" s="201"/>
    </row>
    <row r="91" spans="2:10" ht="14.25" customHeight="1" x14ac:dyDescent="0.15">
      <c r="D91" s="201"/>
    </row>
    <row r="92" spans="2:10" ht="14.25" customHeight="1" x14ac:dyDescent="0.15">
      <c r="B92" s="230"/>
      <c r="C92" s="230"/>
      <c r="D92" s="201"/>
    </row>
    <row r="93" spans="2:10" ht="14.25" customHeight="1" x14ac:dyDescent="0.15">
      <c r="B93" s="230"/>
      <c r="C93" s="230"/>
      <c r="E93" s="374"/>
      <c r="F93" s="374"/>
      <c r="G93" s="394"/>
      <c r="H93" s="394"/>
      <c r="I93" s="394"/>
      <c r="J93" s="394"/>
    </row>
    <row r="94" spans="2:10" ht="14.25" customHeight="1" x14ac:dyDescent="0.15">
      <c r="E94" s="374"/>
      <c r="F94" s="374"/>
      <c r="G94" s="394"/>
      <c r="H94" s="394"/>
      <c r="I94" s="394"/>
      <c r="J94" s="394"/>
    </row>
    <row r="95" spans="2:10" ht="14.25" customHeight="1" x14ac:dyDescent="0.15">
      <c r="B95" s="173"/>
      <c r="C95" s="230"/>
      <c r="D95" s="173"/>
      <c r="E95" s="230"/>
      <c r="F95" s="230"/>
      <c r="G95" s="230"/>
      <c r="H95" s="230"/>
      <c r="I95" s="230"/>
      <c r="J95" s="230"/>
    </row>
    <row r="96" spans="2:10" ht="14.25" customHeight="1" x14ac:dyDescent="0.15">
      <c r="B96" s="230"/>
      <c r="C96" s="230"/>
      <c r="D96" s="209"/>
      <c r="E96" s="201"/>
      <c r="F96" s="201"/>
      <c r="G96" s="201"/>
      <c r="H96" s="201"/>
      <c r="I96" s="201"/>
      <c r="J96" s="201"/>
    </row>
    <row r="97" spans="2:10" ht="14.25" customHeight="1" x14ac:dyDescent="0.15">
      <c r="B97" s="193"/>
      <c r="C97" s="230"/>
      <c r="D97" s="210"/>
      <c r="E97" s="201"/>
      <c r="F97" s="201"/>
      <c r="G97" s="201"/>
      <c r="H97" s="201"/>
      <c r="I97" s="201"/>
      <c r="J97" s="201"/>
    </row>
    <row r="98" spans="2:10" ht="14.25" customHeight="1" x14ac:dyDescent="0.15">
      <c r="B98" s="230"/>
      <c r="C98" s="230"/>
      <c r="D98" s="209"/>
      <c r="E98" s="230"/>
      <c r="F98" s="230"/>
      <c r="G98" s="230"/>
      <c r="H98" s="230"/>
      <c r="I98" s="230"/>
      <c r="J98" s="230"/>
    </row>
    <row r="99" spans="2:10" ht="14.25" customHeight="1" x14ac:dyDescent="0.15">
      <c r="B99" s="230"/>
      <c r="C99" s="230"/>
      <c r="D99" s="209"/>
      <c r="E99" s="395"/>
      <c r="F99" s="395"/>
      <c r="G99" s="395"/>
      <c r="H99" s="395"/>
      <c r="I99" s="395"/>
      <c r="J99" s="395"/>
    </row>
    <row r="100" spans="2:10" ht="14.25" customHeight="1" x14ac:dyDescent="0.15">
      <c r="B100" s="193"/>
      <c r="C100" s="230"/>
      <c r="D100" s="209"/>
      <c r="E100" s="395"/>
      <c r="F100" s="395"/>
      <c r="G100" s="395"/>
      <c r="H100" s="395"/>
      <c r="I100" s="395"/>
      <c r="J100" s="395"/>
    </row>
    <row r="101" spans="2:10" ht="14.25" customHeight="1" x14ac:dyDescent="0.15">
      <c r="B101" s="230"/>
      <c r="C101" s="230"/>
      <c r="D101" s="173"/>
      <c r="E101" s="230"/>
      <c r="F101" s="230"/>
      <c r="G101" s="230"/>
      <c r="H101" s="230"/>
      <c r="I101" s="230"/>
      <c r="J101" s="230"/>
    </row>
    <row r="102" spans="2:10" ht="14.25" customHeight="1" x14ac:dyDescent="0.15">
      <c r="D102" s="209"/>
      <c r="E102" s="381"/>
      <c r="F102" s="381"/>
      <c r="G102" s="381"/>
      <c r="H102" s="381"/>
      <c r="I102" s="381"/>
      <c r="J102" s="381"/>
    </row>
    <row r="103" spans="2:10" ht="14.25" customHeight="1" x14ac:dyDescent="0.15">
      <c r="B103" s="230"/>
      <c r="C103" s="230"/>
      <c r="D103" s="173"/>
      <c r="E103" s="230"/>
      <c r="F103" s="230"/>
      <c r="G103" s="230"/>
      <c r="H103" s="230"/>
      <c r="I103" s="230"/>
      <c r="J103" s="230"/>
    </row>
    <row r="104" spans="2:10" ht="14.25" customHeight="1" x14ac:dyDescent="0.15">
      <c r="B104" s="173"/>
      <c r="C104" s="230"/>
      <c r="D104" s="173"/>
    </row>
    <row r="105" spans="2:10" ht="14.25" customHeight="1" x14ac:dyDescent="0.15">
      <c r="B105" s="173"/>
      <c r="C105" s="230"/>
      <c r="D105" s="173"/>
    </row>
    <row r="106" spans="2:10" ht="14.25" customHeight="1" x14ac:dyDescent="0.15">
      <c r="B106" s="173"/>
      <c r="C106" s="230"/>
      <c r="D106" s="173"/>
    </row>
    <row r="107" spans="2:10" ht="14.25" customHeight="1" x14ac:dyDescent="0.15">
      <c r="E107" s="374"/>
      <c r="F107" s="374"/>
      <c r="G107" s="394"/>
      <c r="H107" s="394"/>
      <c r="I107" s="394"/>
      <c r="J107" s="394"/>
    </row>
    <row r="108" spans="2:10" ht="14.25" customHeight="1" x14ac:dyDescent="0.15">
      <c r="E108" s="374"/>
      <c r="F108" s="374"/>
      <c r="G108" s="394"/>
      <c r="H108" s="394"/>
      <c r="I108" s="394"/>
      <c r="J108" s="394"/>
    </row>
    <row r="109" spans="2:10" ht="14.25" customHeight="1" x14ac:dyDescent="0.15">
      <c r="E109" s="374"/>
      <c r="F109" s="374"/>
      <c r="G109" s="394"/>
      <c r="H109" s="394"/>
      <c r="I109" s="394"/>
      <c r="J109" s="394"/>
    </row>
    <row r="110" spans="2:10" ht="14.25" customHeight="1" x14ac:dyDescent="0.15">
      <c r="B110" s="230"/>
      <c r="C110" s="230"/>
      <c r="D110" s="201"/>
      <c r="E110" s="374"/>
      <c r="F110" s="374"/>
      <c r="G110" s="394"/>
      <c r="H110" s="394"/>
      <c r="I110" s="394"/>
      <c r="J110" s="394"/>
    </row>
    <row r="111" spans="2:10" ht="14.25" customHeight="1" x14ac:dyDescent="0.15">
      <c r="B111" s="173"/>
      <c r="C111" s="230"/>
      <c r="D111" s="173"/>
      <c r="F111" s="193"/>
    </row>
    <row r="112" spans="2:10" ht="14.25" customHeight="1" x14ac:dyDescent="0.15">
      <c r="B112" s="230"/>
      <c r="C112" s="230"/>
      <c r="D112" s="173"/>
      <c r="E112" s="230"/>
      <c r="F112" s="230"/>
      <c r="G112" s="230"/>
      <c r="H112" s="230"/>
      <c r="I112" s="230"/>
      <c r="J112" s="230"/>
    </row>
    <row r="113" spans="2:10" ht="14.25" customHeight="1" x14ac:dyDescent="0.15">
      <c r="B113" s="201"/>
      <c r="C113" s="230"/>
      <c r="D113" s="374"/>
      <c r="E113" s="374"/>
      <c r="F113" s="394"/>
      <c r="G113" s="230"/>
      <c r="H113" s="230"/>
      <c r="I113" s="230"/>
      <c r="J113" s="230"/>
    </row>
    <row r="114" spans="2:10" ht="14.25" customHeight="1" x14ac:dyDescent="0.15">
      <c r="B114" s="201"/>
      <c r="C114" s="230"/>
      <c r="D114" s="374"/>
      <c r="E114" s="374"/>
      <c r="F114" s="394"/>
      <c r="G114" s="230"/>
      <c r="H114" s="230"/>
      <c r="I114" s="230"/>
      <c r="J114" s="230"/>
    </row>
    <row r="115" spans="2:10" ht="14.25" customHeight="1" x14ac:dyDescent="0.15">
      <c r="B115" s="201"/>
      <c r="C115" s="230"/>
      <c r="D115" s="374"/>
      <c r="E115" s="374"/>
      <c r="F115" s="394"/>
      <c r="G115" s="230"/>
      <c r="H115" s="230"/>
      <c r="I115" s="230"/>
      <c r="J115" s="230"/>
    </row>
    <row r="116" spans="2:10" ht="14.25" customHeight="1" x14ac:dyDescent="0.15">
      <c r="B116" s="201"/>
      <c r="C116" s="230"/>
      <c r="D116" s="374"/>
      <c r="E116" s="374"/>
      <c r="F116" s="394"/>
      <c r="G116" s="230"/>
      <c r="H116" s="230"/>
      <c r="I116" s="230"/>
      <c r="J116" s="230"/>
    </row>
    <row r="117" spans="2:10" ht="14.25" customHeight="1" x14ac:dyDescent="0.15">
      <c r="B117" s="201"/>
      <c r="C117" s="230"/>
      <c r="D117" s="374"/>
      <c r="E117" s="374"/>
      <c r="F117" s="394"/>
      <c r="G117" s="230"/>
      <c r="H117" s="230"/>
      <c r="I117" s="230"/>
      <c r="J117" s="230"/>
    </row>
    <row r="118" spans="2:10" ht="14.25" customHeight="1" x14ac:dyDescent="0.15">
      <c r="B118" s="201"/>
      <c r="C118" s="230"/>
      <c r="D118" s="374"/>
      <c r="E118" s="374"/>
      <c r="F118" s="394"/>
      <c r="G118" s="230"/>
      <c r="H118" s="230"/>
      <c r="I118" s="230"/>
      <c r="J118" s="230"/>
    </row>
  </sheetData>
  <mergeCells count="11">
    <mergeCell ref="A12:A15"/>
    <mergeCell ref="A16:A34"/>
    <mergeCell ref="B30:B31"/>
    <mergeCell ref="B32:B34"/>
    <mergeCell ref="A54:D54"/>
    <mergeCell ref="A35:A41"/>
    <mergeCell ref="B35:B36"/>
    <mergeCell ref="A42:A45"/>
    <mergeCell ref="A46:A47"/>
    <mergeCell ref="A48:D48"/>
    <mergeCell ref="A49:A53"/>
  </mergeCells>
  <phoneticPr fontId="1"/>
  <conditionalFormatting sqref="E48:J48 E54:J54">
    <cfRule type="cellIs" dxfId="12" priority="1" stopIfTrue="1" operator="greaterThanOrEqual">
      <formula>1</formula>
    </cfRule>
  </conditionalFormatting>
  <dataValidations disablePrompts="1" count="1">
    <dataValidation type="whole" showInputMessage="1" showErrorMessage="1" sqref="E38:J38" xr:uid="{00000000-0002-0000-0200-000000000000}">
      <formula1>1</formula1>
      <formula2>1</formula2>
    </dataValidation>
  </dataValidations>
  <pageMargins left="0.78740157480314965" right="0.59055118110236227" top="0.98425196850393704" bottom="0.98425196850393704" header="0.51181102362204722" footer="0.51181102362204722"/>
  <pageSetup paperSize="9" fitToWidth="2" fitToHeight="2" orientation="portrait" blackAndWhite="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65"/>
  <sheetViews>
    <sheetView zoomScale="85" zoomScaleNormal="85" zoomScaleSheetLayoutView="100" workbookViewId="0">
      <selection activeCell="L19" sqref="L19"/>
    </sheetView>
  </sheetViews>
  <sheetFormatPr defaultRowHeight="14.25" x14ac:dyDescent="0.15"/>
  <cols>
    <col min="1" max="1" width="4.625" style="173" customWidth="1"/>
    <col min="2" max="19" width="9.625" style="173" customWidth="1"/>
    <col min="20" max="33" width="9" style="173" customWidth="1"/>
    <col min="34" max="16384" width="9" style="173"/>
  </cols>
  <sheetData>
    <row r="1" spans="2:19" ht="12.95" customHeight="1" x14ac:dyDescent="0.15">
      <c r="B1" s="173" t="s">
        <v>233</v>
      </c>
    </row>
    <row r="2" spans="2:19" ht="12.95" customHeight="1" x14ac:dyDescent="0.15"/>
    <row r="3" spans="2:19" ht="12.95" customHeight="1" x14ac:dyDescent="0.15">
      <c r="C3" s="160" t="s">
        <v>359</v>
      </c>
      <c r="D3" s="396">
        <v>481.9</v>
      </c>
      <c r="E3" s="173" t="s">
        <v>360</v>
      </c>
      <c r="G3" s="160" t="s">
        <v>361</v>
      </c>
      <c r="H3" s="397">
        <v>0.1</v>
      </c>
      <c r="I3" s="398"/>
    </row>
    <row r="4" spans="2:19" ht="12.95" customHeight="1" x14ac:dyDescent="0.15">
      <c r="C4" s="160" t="s">
        <v>362</v>
      </c>
      <c r="D4" s="396">
        <f>+H6</f>
        <v>247.52000000000004</v>
      </c>
      <c r="E4" s="173" t="s">
        <v>358</v>
      </c>
      <c r="G4" s="160" t="s">
        <v>363</v>
      </c>
      <c r="H4" s="397">
        <v>0.8</v>
      </c>
      <c r="I4" s="161"/>
    </row>
    <row r="5" spans="2:19" ht="12.95" customHeight="1" x14ac:dyDescent="0.15">
      <c r="C5" s="160" t="s">
        <v>364</v>
      </c>
      <c r="D5" s="399">
        <f>SUM(D3:D4)</f>
        <v>729.42000000000007</v>
      </c>
      <c r="E5" s="173" t="s">
        <v>358</v>
      </c>
      <c r="G5" s="160" t="s">
        <v>365</v>
      </c>
      <c r="H5" s="397">
        <v>3094</v>
      </c>
      <c r="I5" s="161" t="s">
        <v>358</v>
      </c>
    </row>
    <row r="6" spans="2:19" ht="12.95" customHeight="1" x14ac:dyDescent="0.15">
      <c r="G6" s="160" t="s">
        <v>366</v>
      </c>
      <c r="H6" s="400">
        <f>H3*H4*H5</f>
        <v>247.52000000000004</v>
      </c>
      <c r="I6" s="162" t="s">
        <v>358</v>
      </c>
    </row>
    <row r="7" spans="2:19" ht="12.95" customHeight="1" x14ac:dyDescent="0.15"/>
    <row r="8" spans="2:19" s="230" customFormat="1" ht="12.95" customHeight="1" x14ac:dyDescent="0.15">
      <c r="B8" s="575" t="s">
        <v>5</v>
      </c>
      <c r="C8" s="552"/>
      <c r="D8" s="227"/>
      <c r="E8" s="227" t="s">
        <v>7</v>
      </c>
      <c r="F8" s="228" t="s">
        <v>7</v>
      </c>
      <c r="G8" s="228" t="s">
        <v>7</v>
      </c>
      <c r="H8" s="228" t="s">
        <v>7</v>
      </c>
      <c r="I8" s="228" t="s">
        <v>8</v>
      </c>
      <c r="J8" s="164" t="s">
        <v>7</v>
      </c>
      <c r="K8" s="191" t="s">
        <v>7</v>
      </c>
      <c r="L8" s="191" t="s">
        <v>8</v>
      </c>
      <c r="M8" s="191" t="s">
        <v>7</v>
      </c>
      <c r="N8" s="191" t="s">
        <v>7</v>
      </c>
      <c r="O8" s="191" t="s">
        <v>8</v>
      </c>
      <c r="P8" s="191" t="s">
        <v>7</v>
      </c>
      <c r="Q8" s="191" t="s">
        <v>7</v>
      </c>
      <c r="R8" s="191" t="s">
        <v>7</v>
      </c>
      <c r="S8" s="191" t="s">
        <v>7</v>
      </c>
    </row>
    <row r="9" spans="2:19" s="230" customFormat="1" ht="12.95" customHeight="1" x14ac:dyDescent="0.15">
      <c r="B9" s="576" t="s">
        <v>367</v>
      </c>
      <c r="C9" s="577"/>
      <c r="D9" s="182"/>
      <c r="E9" s="182" t="s">
        <v>349</v>
      </c>
      <c r="F9" s="183" t="s">
        <v>350</v>
      </c>
      <c r="G9" s="183" t="s">
        <v>351</v>
      </c>
      <c r="H9" s="183" t="s">
        <v>349</v>
      </c>
      <c r="I9" s="183" t="s">
        <v>350</v>
      </c>
      <c r="J9" s="184" t="s">
        <v>351</v>
      </c>
      <c r="K9" s="185" t="s">
        <v>349</v>
      </c>
      <c r="L9" s="185" t="s">
        <v>350</v>
      </c>
      <c r="M9" s="185" t="s">
        <v>351</v>
      </c>
      <c r="N9" s="185" t="s">
        <v>349</v>
      </c>
      <c r="O9" s="185" t="s">
        <v>350</v>
      </c>
      <c r="P9" s="185" t="s">
        <v>351</v>
      </c>
      <c r="Q9" s="185" t="s">
        <v>349</v>
      </c>
      <c r="R9" s="185" t="s">
        <v>350</v>
      </c>
      <c r="S9" s="185" t="s">
        <v>351</v>
      </c>
    </row>
    <row r="10" spans="2:19" s="230" customFormat="1" ht="12.95" customHeight="1" x14ac:dyDescent="0.15">
      <c r="B10" s="578" t="s">
        <v>368</v>
      </c>
      <c r="C10" s="555"/>
      <c r="D10" s="166"/>
      <c r="E10" s="233" t="s">
        <v>352</v>
      </c>
      <c r="F10" s="234" t="s">
        <v>352</v>
      </c>
      <c r="G10" s="234" t="s">
        <v>352</v>
      </c>
      <c r="H10" s="234" t="s">
        <v>353</v>
      </c>
      <c r="I10" s="234" t="s">
        <v>353</v>
      </c>
      <c r="J10" s="167" t="s">
        <v>353</v>
      </c>
      <c r="K10" s="178" t="s">
        <v>354</v>
      </c>
      <c r="L10" s="178" t="s">
        <v>354</v>
      </c>
      <c r="M10" s="178" t="s">
        <v>354</v>
      </c>
      <c r="N10" s="178" t="s">
        <v>355</v>
      </c>
      <c r="O10" s="178" t="s">
        <v>355</v>
      </c>
      <c r="P10" s="178" t="s">
        <v>355</v>
      </c>
      <c r="Q10" s="178" t="s">
        <v>356</v>
      </c>
      <c r="R10" s="178" t="s">
        <v>356</v>
      </c>
      <c r="S10" s="178" t="s">
        <v>356</v>
      </c>
    </row>
    <row r="11" spans="2:19" s="230" customFormat="1" ht="12.95" customHeight="1" x14ac:dyDescent="0.15">
      <c r="B11" s="569" t="s">
        <v>238</v>
      </c>
      <c r="C11" s="168" t="s">
        <v>50</v>
      </c>
      <c r="D11" s="240" t="s">
        <v>358</v>
      </c>
      <c r="E11" s="401">
        <v>240.5</v>
      </c>
      <c r="F11" s="402">
        <v>472.6</v>
      </c>
      <c r="G11" s="402">
        <v>310.39999999999998</v>
      </c>
      <c r="H11" s="402">
        <v>416</v>
      </c>
      <c r="I11" s="402">
        <v>665.5</v>
      </c>
      <c r="J11" s="403">
        <v>461.6</v>
      </c>
      <c r="K11" s="230">
        <v>386.9</v>
      </c>
      <c r="L11" s="230">
        <v>626.20000000000005</v>
      </c>
      <c r="M11" s="230">
        <v>430</v>
      </c>
      <c r="N11" s="230">
        <v>392</v>
      </c>
      <c r="O11" s="230">
        <v>654.1</v>
      </c>
      <c r="P11" s="230">
        <v>487.6</v>
      </c>
      <c r="Q11" s="230">
        <v>217.2</v>
      </c>
      <c r="R11" s="230">
        <v>427.1</v>
      </c>
      <c r="S11" s="394">
        <v>293.10000000000002</v>
      </c>
    </row>
    <row r="12" spans="2:19" s="230" customFormat="1" ht="12.95" customHeight="1" x14ac:dyDescent="0.15">
      <c r="B12" s="549"/>
      <c r="C12" s="169" t="s">
        <v>250</v>
      </c>
      <c r="D12" s="170" t="s">
        <v>358</v>
      </c>
      <c r="E12" s="346">
        <f>SUM(E11:S11)</f>
        <v>6480.8000000000011</v>
      </c>
      <c r="F12" s="346">
        <f>SUM(E13:S13)</f>
        <v>0.99999999999999978</v>
      </c>
      <c r="G12" s="346"/>
      <c r="H12" s="346"/>
      <c r="I12" s="346"/>
      <c r="J12" s="346"/>
      <c r="K12" s="346"/>
      <c r="L12" s="346"/>
      <c r="M12" s="346"/>
      <c r="N12" s="346"/>
      <c r="O12" s="346"/>
      <c r="P12" s="346"/>
      <c r="Q12" s="346"/>
      <c r="R12" s="346"/>
    </row>
    <row r="13" spans="2:19" s="230" customFormat="1" ht="12.95" customHeight="1" x14ac:dyDescent="0.15">
      <c r="B13" s="549"/>
      <c r="C13" s="169" t="s">
        <v>369</v>
      </c>
      <c r="D13" s="170"/>
      <c r="E13" s="352">
        <f>IF(E11="","",E11/E12)</f>
        <v>3.7109616096778167E-2</v>
      </c>
      <c r="F13" s="352">
        <f t="shared" ref="F13:S13" si="0">IF(F11="","",F11/$E12)</f>
        <v>7.2923095914084676E-2</v>
      </c>
      <c r="G13" s="352">
        <f t="shared" si="0"/>
        <v>4.7895321565238846E-2</v>
      </c>
      <c r="H13" s="352">
        <f t="shared" si="0"/>
        <v>6.4189606221454129E-2</v>
      </c>
      <c r="I13" s="352">
        <f t="shared" si="0"/>
        <v>0.10268793976052337</v>
      </c>
      <c r="J13" s="352">
        <f t="shared" si="0"/>
        <v>7.1225774595728916E-2</v>
      </c>
      <c r="K13" s="352">
        <f t="shared" si="0"/>
        <v>5.9699419824712982E-2</v>
      </c>
      <c r="L13" s="352">
        <f t="shared" si="0"/>
        <v>9.6623873595852353E-2</v>
      </c>
      <c r="M13" s="352">
        <f t="shared" si="0"/>
        <v>6.6349833353906915E-2</v>
      </c>
      <c r="N13" s="352">
        <f t="shared" si="0"/>
        <v>6.0486359708677932E-2</v>
      </c>
      <c r="O13" s="352">
        <f t="shared" si="0"/>
        <v>0.10092889766695469</v>
      </c>
      <c r="P13" s="352">
        <f t="shared" si="0"/>
        <v>7.5237624984569804E-2</v>
      </c>
      <c r="Q13" s="352">
        <f t="shared" si="0"/>
        <v>3.3514380940624609E-2</v>
      </c>
      <c r="R13" s="352">
        <f t="shared" si="0"/>
        <v>6.5902357733613123E-2</v>
      </c>
      <c r="S13" s="352">
        <f t="shared" si="0"/>
        <v>4.5225898037279347E-2</v>
      </c>
    </row>
    <row r="14" spans="2:19" s="230" customFormat="1" ht="12.95" customHeight="1" x14ac:dyDescent="0.15">
      <c r="B14" s="549"/>
      <c r="C14" s="169" t="s">
        <v>370</v>
      </c>
      <c r="D14" s="170" t="s">
        <v>358</v>
      </c>
      <c r="E14" s="355">
        <f>+D5</f>
        <v>729.42000000000007</v>
      </c>
      <c r="F14" s="354"/>
      <c r="G14" s="354"/>
      <c r="H14" s="354"/>
      <c r="I14" s="354"/>
      <c r="J14" s="404"/>
    </row>
    <row r="15" spans="2:19" s="230" customFormat="1" ht="12.95" customHeight="1" x14ac:dyDescent="0.15">
      <c r="B15" s="549"/>
      <c r="C15" s="169" t="s">
        <v>371</v>
      </c>
      <c r="D15" s="170" t="s">
        <v>358</v>
      </c>
      <c r="E15" s="355">
        <f t="shared" ref="E15:S15" si="1">IF(E13="","",E13*$E14)</f>
        <v>27.068496173311932</v>
      </c>
      <c r="F15" s="355">
        <f t="shared" si="1"/>
        <v>53.191564621651651</v>
      </c>
      <c r="G15" s="355">
        <f t="shared" si="1"/>
        <v>34.935805456116526</v>
      </c>
      <c r="H15" s="355">
        <f t="shared" si="1"/>
        <v>46.821182570053075</v>
      </c>
      <c r="I15" s="355">
        <f t="shared" si="1"/>
        <v>74.902637020120963</v>
      </c>
      <c r="J15" s="355">
        <f t="shared" si="1"/>
        <v>51.953504505616593</v>
      </c>
      <c r="K15" s="355">
        <f t="shared" si="1"/>
        <v>43.545950808542145</v>
      </c>
      <c r="L15" s="355">
        <f t="shared" si="1"/>
        <v>70.479385878286635</v>
      </c>
      <c r="M15" s="355">
        <f t="shared" si="1"/>
        <v>48.396895445006784</v>
      </c>
      <c r="N15" s="355">
        <f t="shared" si="1"/>
        <v>44.119960498703861</v>
      </c>
      <c r="O15" s="355">
        <f t="shared" si="1"/>
        <v>73.619556536230093</v>
      </c>
      <c r="P15" s="355">
        <f t="shared" si="1"/>
        <v>54.879828416244912</v>
      </c>
      <c r="Q15" s="355">
        <f t="shared" si="1"/>
        <v>24.446059745710404</v>
      </c>
      <c r="R15" s="355">
        <f t="shared" si="1"/>
        <v>48.070497778052086</v>
      </c>
      <c r="S15" s="355">
        <f t="shared" si="1"/>
        <v>32.988674546352307</v>
      </c>
    </row>
    <row r="16" spans="2:19" s="230" customFormat="1" ht="12.95" customHeight="1" x14ac:dyDescent="0.15">
      <c r="B16" s="549"/>
      <c r="C16" s="169"/>
      <c r="D16" s="170"/>
      <c r="E16" s="355"/>
      <c r="F16" s="354"/>
      <c r="G16" s="354"/>
      <c r="H16" s="354"/>
      <c r="I16" s="354"/>
      <c r="J16" s="404"/>
    </row>
    <row r="17" spans="2:19" s="230" customFormat="1" ht="12.95" customHeight="1" x14ac:dyDescent="0.15">
      <c r="B17" s="549"/>
      <c r="C17" s="169"/>
      <c r="D17" s="170"/>
      <c r="E17" s="355"/>
      <c r="F17" s="354"/>
      <c r="G17" s="354"/>
      <c r="H17" s="354"/>
      <c r="I17" s="354"/>
      <c r="J17" s="404"/>
    </row>
    <row r="18" spans="2:19" s="230" customFormat="1" ht="12.95" customHeight="1" x14ac:dyDescent="0.15">
      <c r="B18" s="549"/>
      <c r="C18" s="230" t="s">
        <v>70</v>
      </c>
      <c r="D18" s="170" t="s">
        <v>372</v>
      </c>
      <c r="E18" s="230">
        <v>2</v>
      </c>
      <c r="F18" s="230">
        <v>2</v>
      </c>
      <c r="G18" s="230">
        <v>2</v>
      </c>
      <c r="H18" s="230">
        <v>2</v>
      </c>
      <c r="I18" s="230">
        <v>3</v>
      </c>
      <c r="J18" s="230">
        <v>2</v>
      </c>
      <c r="K18" s="230">
        <v>2</v>
      </c>
      <c r="L18" s="230">
        <v>3</v>
      </c>
      <c r="M18" s="230">
        <v>2</v>
      </c>
      <c r="N18" s="230">
        <v>2</v>
      </c>
      <c r="O18" s="230">
        <v>3</v>
      </c>
      <c r="P18" s="230">
        <v>2</v>
      </c>
      <c r="Q18" s="230">
        <v>2</v>
      </c>
      <c r="R18" s="230">
        <v>2</v>
      </c>
      <c r="S18" s="230">
        <v>2</v>
      </c>
    </row>
    <row r="19" spans="2:19" s="230" customFormat="1" ht="12.95" customHeight="1" x14ac:dyDescent="0.15">
      <c r="B19" s="549"/>
      <c r="C19" s="169" t="s">
        <v>62</v>
      </c>
      <c r="D19" s="170" t="s">
        <v>63</v>
      </c>
      <c r="E19" s="346">
        <f t="shared" ref="E19:S19" si="2">E18</f>
        <v>2</v>
      </c>
      <c r="F19" s="346">
        <f t="shared" si="2"/>
        <v>2</v>
      </c>
      <c r="G19" s="346">
        <f t="shared" si="2"/>
        <v>2</v>
      </c>
      <c r="H19" s="346">
        <f t="shared" si="2"/>
        <v>2</v>
      </c>
      <c r="I19" s="346">
        <f t="shared" si="2"/>
        <v>3</v>
      </c>
      <c r="J19" s="346">
        <f t="shared" si="2"/>
        <v>2</v>
      </c>
      <c r="K19" s="346">
        <f t="shared" si="2"/>
        <v>2</v>
      </c>
      <c r="L19" s="346">
        <f t="shared" si="2"/>
        <v>3</v>
      </c>
      <c r="M19" s="346">
        <f t="shared" si="2"/>
        <v>2</v>
      </c>
      <c r="N19" s="346">
        <f t="shared" si="2"/>
        <v>2</v>
      </c>
      <c r="O19" s="346">
        <f t="shared" si="2"/>
        <v>3</v>
      </c>
      <c r="P19" s="346">
        <f t="shared" si="2"/>
        <v>2</v>
      </c>
      <c r="Q19" s="346">
        <f t="shared" si="2"/>
        <v>2</v>
      </c>
      <c r="R19" s="346">
        <f t="shared" si="2"/>
        <v>2</v>
      </c>
      <c r="S19" s="346">
        <f t="shared" si="2"/>
        <v>2</v>
      </c>
    </row>
    <row r="20" spans="2:19" s="230" customFormat="1" ht="12.95" customHeight="1" x14ac:dyDescent="0.15">
      <c r="B20" s="545"/>
      <c r="C20" s="171" t="s">
        <v>256</v>
      </c>
      <c r="D20" s="172" t="s">
        <v>257</v>
      </c>
      <c r="E20" s="355">
        <f t="shared" ref="E20:S20" si="3">IF(E18="","",$E15/E19)</f>
        <v>13.534248086655966</v>
      </c>
      <c r="F20" s="355">
        <f t="shared" si="3"/>
        <v>13.534248086655966</v>
      </c>
      <c r="G20" s="355">
        <f t="shared" si="3"/>
        <v>13.534248086655966</v>
      </c>
      <c r="H20" s="355">
        <f t="shared" si="3"/>
        <v>13.534248086655966</v>
      </c>
      <c r="I20" s="355">
        <f t="shared" si="3"/>
        <v>9.0228320577706445</v>
      </c>
      <c r="J20" s="355">
        <f t="shared" si="3"/>
        <v>13.534248086655966</v>
      </c>
      <c r="K20" s="355">
        <f t="shared" si="3"/>
        <v>13.534248086655966</v>
      </c>
      <c r="L20" s="355">
        <f t="shared" si="3"/>
        <v>9.0228320577706445</v>
      </c>
      <c r="M20" s="355">
        <f t="shared" si="3"/>
        <v>13.534248086655966</v>
      </c>
      <c r="N20" s="355">
        <f t="shared" si="3"/>
        <v>13.534248086655966</v>
      </c>
      <c r="O20" s="355">
        <f t="shared" si="3"/>
        <v>9.0228320577706445</v>
      </c>
      <c r="P20" s="355">
        <f t="shared" si="3"/>
        <v>13.534248086655966</v>
      </c>
      <c r="Q20" s="355">
        <f t="shared" si="3"/>
        <v>13.534248086655966</v>
      </c>
      <c r="R20" s="355">
        <f t="shared" si="3"/>
        <v>13.534248086655966</v>
      </c>
      <c r="S20" s="355">
        <f t="shared" si="3"/>
        <v>13.534248086655966</v>
      </c>
    </row>
    <row r="21" spans="2:19" ht="12.95" customHeight="1" x14ac:dyDescent="0.15">
      <c r="B21" s="569" t="s">
        <v>259</v>
      </c>
      <c r="C21" s="168" t="s">
        <v>108</v>
      </c>
      <c r="D21" s="240"/>
      <c r="E21" s="405">
        <v>4</v>
      </c>
      <c r="F21" s="405">
        <v>4</v>
      </c>
      <c r="G21" s="405">
        <v>4</v>
      </c>
      <c r="H21" s="405">
        <v>4</v>
      </c>
      <c r="I21" s="405">
        <v>4</v>
      </c>
      <c r="J21" s="405">
        <v>4</v>
      </c>
      <c r="K21" s="405">
        <v>4</v>
      </c>
      <c r="L21" s="405">
        <v>4</v>
      </c>
      <c r="M21" s="405">
        <v>4</v>
      </c>
      <c r="N21" s="405">
        <v>4</v>
      </c>
      <c r="O21" s="405">
        <v>4</v>
      </c>
      <c r="P21" s="405">
        <v>4</v>
      </c>
      <c r="Q21" s="405">
        <v>4</v>
      </c>
      <c r="R21" s="405">
        <v>4</v>
      </c>
      <c r="S21" s="405">
        <v>4</v>
      </c>
    </row>
    <row r="22" spans="2:19" ht="12.95" customHeight="1" x14ac:dyDescent="0.15">
      <c r="B22" s="549"/>
      <c r="C22" s="169" t="s">
        <v>262</v>
      </c>
      <c r="D22" s="170"/>
      <c r="E22" s="406">
        <v>2</v>
      </c>
      <c r="F22" s="407">
        <v>2</v>
      </c>
      <c r="G22" s="407">
        <v>2</v>
      </c>
      <c r="H22" s="407">
        <v>2</v>
      </c>
      <c r="I22" s="407">
        <v>2</v>
      </c>
      <c r="J22" s="407">
        <v>2</v>
      </c>
      <c r="K22" s="407">
        <v>2</v>
      </c>
      <c r="L22" s="407">
        <v>2</v>
      </c>
      <c r="M22" s="407">
        <v>2</v>
      </c>
      <c r="N22" s="407">
        <v>2</v>
      </c>
      <c r="O22" s="407">
        <v>2</v>
      </c>
      <c r="P22" s="407">
        <v>2</v>
      </c>
      <c r="Q22" s="407">
        <v>2</v>
      </c>
      <c r="R22" s="407">
        <v>2</v>
      </c>
      <c r="S22" s="407">
        <v>2</v>
      </c>
    </row>
    <row r="23" spans="2:19" ht="12.95" customHeight="1" x14ac:dyDescent="0.15">
      <c r="B23" s="549"/>
      <c r="C23" s="169" t="s">
        <v>263</v>
      </c>
      <c r="D23" s="170" t="s">
        <v>31</v>
      </c>
      <c r="E23" s="408">
        <f t="shared" ref="E23:S23" si="4">7*E22*100</f>
        <v>1400</v>
      </c>
      <c r="F23" s="409">
        <f t="shared" si="4"/>
        <v>1400</v>
      </c>
      <c r="G23" s="409">
        <f t="shared" si="4"/>
        <v>1400</v>
      </c>
      <c r="H23" s="409">
        <f t="shared" si="4"/>
        <v>1400</v>
      </c>
      <c r="I23" s="409">
        <f t="shared" si="4"/>
        <v>1400</v>
      </c>
      <c r="J23" s="409">
        <f t="shared" si="4"/>
        <v>1400</v>
      </c>
      <c r="K23" s="409">
        <f t="shared" si="4"/>
        <v>1400</v>
      </c>
      <c r="L23" s="409">
        <f t="shared" si="4"/>
        <v>1400</v>
      </c>
      <c r="M23" s="409">
        <f t="shared" si="4"/>
        <v>1400</v>
      </c>
      <c r="N23" s="409">
        <f t="shared" si="4"/>
        <v>1400</v>
      </c>
      <c r="O23" s="409">
        <f t="shared" si="4"/>
        <v>1400</v>
      </c>
      <c r="P23" s="409">
        <f t="shared" si="4"/>
        <v>1400</v>
      </c>
      <c r="Q23" s="409">
        <f t="shared" si="4"/>
        <v>1400</v>
      </c>
      <c r="R23" s="409">
        <f t="shared" si="4"/>
        <v>1400</v>
      </c>
      <c r="S23" s="409">
        <f t="shared" si="4"/>
        <v>1400</v>
      </c>
    </row>
    <row r="24" spans="2:19" ht="12.95" customHeight="1" x14ac:dyDescent="0.15">
      <c r="B24" s="549"/>
      <c r="C24" s="169" t="s">
        <v>373</v>
      </c>
      <c r="D24" s="170" t="s">
        <v>20</v>
      </c>
      <c r="E24" s="408">
        <f>鉛直!O8</f>
        <v>1</v>
      </c>
      <c r="F24" s="409">
        <f>鉛直!P8</f>
        <v>1</v>
      </c>
      <c r="G24" s="409">
        <f>鉛直!Q8</f>
        <v>1</v>
      </c>
      <c r="H24" s="409">
        <f>鉛直!R8</f>
        <v>1</v>
      </c>
      <c r="I24" s="409">
        <f>鉛直!S8</f>
        <v>1</v>
      </c>
      <c r="J24" s="409">
        <v>1</v>
      </c>
      <c r="K24" s="409">
        <v>1</v>
      </c>
      <c r="L24" s="409">
        <v>1</v>
      </c>
      <c r="M24" s="409">
        <v>1</v>
      </c>
      <c r="N24" s="409">
        <v>1</v>
      </c>
      <c r="O24" s="409">
        <v>1</v>
      </c>
      <c r="P24" s="409">
        <v>1</v>
      </c>
      <c r="Q24" s="409">
        <v>1</v>
      </c>
      <c r="R24" s="409">
        <v>1</v>
      </c>
      <c r="S24" s="409">
        <v>1</v>
      </c>
    </row>
    <row r="25" spans="2:19" ht="12.95" customHeight="1" x14ac:dyDescent="0.15">
      <c r="B25" s="545"/>
      <c r="C25" s="171" t="s">
        <v>267</v>
      </c>
      <c r="D25" s="172"/>
      <c r="E25" s="410">
        <f t="shared" ref="E25:S25" si="5">ROUNDDOWN((1/30)*E21*E23*(E24*100/30)^(-3/4)*10^2,3)</f>
        <v>7566.72</v>
      </c>
      <c r="F25" s="411">
        <f t="shared" si="5"/>
        <v>7566.72</v>
      </c>
      <c r="G25" s="411">
        <f t="shared" si="5"/>
        <v>7566.72</v>
      </c>
      <c r="H25" s="411">
        <f t="shared" si="5"/>
        <v>7566.72</v>
      </c>
      <c r="I25" s="411">
        <f t="shared" si="5"/>
        <v>7566.72</v>
      </c>
      <c r="J25" s="411">
        <f t="shared" si="5"/>
        <v>7566.72</v>
      </c>
      <c r="K25" s="411">
        <f t="shared" si="5"/>
        <v>7566.72</v>
      </c>
      <c r="L25" s="411">
        <f t="shared" si="5"/>
        <v>7566.72</v>
      </c>
      <c r="M25" s="411">
        <f t="shared" si="5"/>
        <v>7566.72</v>
      </c>
      <c r="N25" s="411">
        <f t="shared" si="5"/>
        <v>7566.72</v>
      </c>
      <c r="O25" s="411">
        <f t="shared" si="5"/>
        <v>7566.72</v>
      </c>
      <c r="P25" s="411">
        <f t="shared" si="5"/>
        <v>7566.72</v>
      </c>
      <c r="Q25" s="411">
        <f t="shared" si="5"/>
        <v>7566.72</v>
      </c>
      <c r="R25" s="411">
        <f t="shared" si="5"/>
        <v>7566.72</v>
      </c>
      <c r="S25" s="411">
        <f t="shared" si="5"/>
        <v>7566.72</v>
      </c>
    </row>
    <row r="26" spans="2:19" ht="12.95" customHeight="1" x14ac:dyDescent="0.15">
      <c r="B26" s="569" t="s">
        <v>269</v>
      </c>
      <c r="C26" s="168" t="s">
        <v>19</v>
      </c>
      <c r="D26" s="240" t="s">
        <v>20</v>
      </c>
      <c r="E26" s="412">
        <v>1</v>
      </c>
      <c r="F26" s="413">
        <v>1</v>
      </c>
      <c r="G26" s="413">
        <v>1</v>
      </c>
      <c r="H26" s="413">
        <v>1</v>
      </c>
      <c r="I26" s="413">
        <v>1</v>
      </c>
      <c r="J26" s="413">
        <v>1</v>
      </c>
      <c r="K26" s="413">
        <v>1</v>
      </c>
      <c r="L26" s="413">
        <v>1</v>
      </c>
      <c r="M26" s="413">
        <v>1</v>
      </c>
      <c r="N26" s="413">
        <v>1</v>
      </c>
      <c r="O26" s="413">
        <v>1</v>
      </c>
      <c r="P26" s="413">
        <v>1</v>
      </c>
      <c r="Q26" s="413">
        <v>1</v>
      </c>
      <c r="R26" s="413">
        <v>1</v>
      </c>
      <c r="S26" s="413">
        <v>1</v>
      </c>
    </row>
    <row r="27" spans="2:19" ht="12.95" customHeight="1" x14ac:dyDescent="0.15">
      <c r="B27" s="549"/>
      <c r="C27" s="169" t="s">
        <v>265</v>
      </c>
      <c r="D27" s="170" t="s">
        <v>20</v>
      </c>
      <c r="E27" s="414">
        <v>1</v>
      </c>
      <c r="F27" s="415">
        <v>1</v>
      </c>
      <c r="G27" s="415">
        <v>1</v>
      </c>
      <c r="H27" s="415">
        <v>1</v>
      </c>
      <c r="I27" s="415">
        <v>1</v>
      </c>
      <c r="J27" s="415">
        <v>1</v>
      </c>
      <c r="K27" s="415">
        <v>1</v>
      </c>
      <c r="L27" s="415">
        <v>1</v>
      </c>
      <c r="M27" s="415">
        <v>1</v>
      </c>
      <c r="N27" s="415">
        <v>1</v>
      </c>
      <c r="O27" s="415">
        <v>1</v>
      </c>
      <c r="P27" s="415">
        <v>1</v>
      </c>
      <c r="Q27" s="415">
        <v>1</v>
      </c>
      <c r="R27" s="415">
        <v>1</v>
      </c>
      <c r="S27" s="415">
        <v>1</v>
      </c>
    </row>
    <row r="28" spans="2:19" ht="12.95" customHeight="1" x14ac:dyDescent="0.15">
      <c r="B28" s="549"/>
      <c r="C28" s="169" t="s">
        <v>273</v>
      </c>
      <c r="D28" s="170"/>
      <c r="E28" s="408">
        <f t="shared" ref="E28:S28" si="6">E26/E27</f>
        <v>1</v>
      </c>
      <c r="F28" s="409">
        <f t="shared" si="6"/>
        <v>1</v>
      </c>
      <c r="G28" s="409">
        <f t="shared" si="6"/>
        <v>1</v>
      </c>
      <c r="H28" s="409">
        <f t="shared" si="6"/>
        <v>1</v>
      </c>
      <c r="I28" s="409">
        <f t="shared" si="6"/>
        <v>1</v>
      </c>
      <c r="J28" s="409">
        <f t="shared" si="6"/>
        <v>1</v>
      </c>
      <c r="K28" s="409">
        <f t="shared" si="6"/>
        <v>1</v>
      </c>
      <c r="L28" s="409">
        <f t="shared" si="6"/>
        <v>1</v>
      </c>
      <c r="M28" s="409">
        <f t="shared" si="6"/>
        <v>1</v>
      </c>
      <c r="N28" s="409">
        <f t="shared" si="6"/>
        <v>1</v>
      </c>
      <c r="O28" s="409">
        <f t="shared" si="6"/>
        <v>1</v>
      </c>
      <c r="P28" s="409">
        <f t="shared" si="6"/>
        <v>1</v>
      </c>
      <c r="Q28" s="409">
        <f t="shared" si="6"/>
        <v>1</v>
      </c>
      <c r="R28" s="409">
        <f t="shared" si="6"/>
        <v>1</v>
      </c>
      <c r="S28" s="409">
        <f t="shared" si="6"/>
        <v>1</v>
      </c>
    </row>
    <row r="29" spans="2:19" ht="12.95" customHeight="1" x14ac:dyDescent="0.15">
      <c r="B29" s="549"/>
      <c r="C29" s="169" t="s">
        <v>275</v>
      </c>
      <c r="D29" s="170"/>
      <c r="E29" s="408">
        <f t="shared" ref="E29:S29" si="7">ROUNDDOWN((1-0.2*(3-E28)),1)</f>
        <v>0.6</v>
      </c>
      <c r="F29" s="409">
        <f t="shared" si="7"/>
        <v>0.6</v>
      </c>
      <c r="G29" s="409">
        <f t="shared" si="7"/>
        <v>0.6</v>
      </c>
      <c r="H29" s="409">
        <f t="shared" si="7"/>
        <v>0.6</v>
      </c>
      <c r="I29" s="409">
        <f t="shared" si="7"/>
        <v>0.6</v>
      </c>
      <c r="J29" s="409">
        <f t="shared" si="7"/>
        <v>0.6</v>
      </c>
      <c r="K29" s="409">
        <f t="shared" si="7"/>
        <v>0.6</v>
      </c>
      <c r="L29" s="409">
        <f t="shared" si="7"/>
        <v>0.6</v>
      </c>
      <c r="M29" s="409">
        <f t="shared" si="7"/>
        <v>0.6</v>
      </c>
      <c r="N29" s="409">
        <f t="shared" si="7"/>
        <v>0.6</v>
      </c>
      <c r="O29" s="409">
        <f t="shared" si="7"/>
        <v>0.6</v>
      </c>
      <c r="P29" s="409">
        <f t="shared" si="7"/>
        <v>0.6</v>
      </c>
      <c r="Q29" s="409">
        <f t="shared" si="7"/>
        <v>0.6</v>
      </c>
      <c r="R29" s="409">
        <f t="shared" si="7"/>
        <v>0.6</v>
      </c>
      <c r="S29" s="409">
        <f t="shared" si="7"/>
        <v>0.6</v>
      </c>
    </row>
    <row r="30" spans="2:19" ht="12.95" customHeight="1" x14ac:dyDescent="0.15">
      <c r="B30" s="549"/>
      <c r="C30" s="169" t="s">
        <v>239</v>
      </c>
      <c r="D30" s="170" t="s">
        <v>20</v>
      </c>
      <c r="E30" s="408">
        <f t="shared" ref="E30:S30" si="8">+E27</f>
        <v>1</v>
      </c>
      <c r="F30" s="409">
        <f t="shared" si="8"/>
        <v>1</v>
      </c>
      <c r="G30" s="409">
        <f t="shared" si="8"/>
        <v>1</v>
      </c>
      <c r="H30" s="409">
        <f t="shared" si="8"/>
        <v>1</v>
      </c>
      <c r="I30" s="409">
        <f t="shared" si="8"/>
        <v>1</v>
      </c>
      <c r="J30" s="409">
        <f t="shared" si="8"/>
        <v>1</v>
      </c>
      <c r="K30" s="409">
        <f t="shared" si="8"/>
        <v>1</v>
      </c>
      <c r="L30" s="409">
        <f t="shared" si="8"/>
        <v>1</v>
      </c>
      <c r="M30" s="409">
        <f t="shared" si="8"/>
        <v>1</v>
      </c>
      <c r="N30" s="409">
        <f t="shared" si="8"/>
        <v>1</v>
      </c>
      <c r="O30" s="409">
        <f t="shared" si="8"/>
        <v>1</v>
      </c>
      <c r="P30" s="409">
        <f t="shared" si="8"/>
        <v>1</v>
      </c>
      <c r="Q30" s="409">
        <f t="shared" si="8"/>
        <v>1</v>
      </c>
      <c r="R30" s="409">
        <f t="shared" si="8"/>
        <v>1</v>
      </c>
      <c r="S30" s="409">
        <f t="shared" si="8"/>
        <v>1</v>
      </c>
    </row>
    <row r="31" spans="2:19" ht="12.95" customHeight="1" x14ac:dyDescent="0.15">
      <c r="B31" s="549"/>
      <c r="C31" s="169" t="s">
        <v>276</v>
      </c>
      <c r="D31" s="170"/>
      <c r="E31" s="416">
        <f t="shared" ref="E31:S31" si="9">ROUNDDOWN((1/30)*E21*E23*(E30*100/30)^(-3/4)*10^2,2)</f>
        <v>7566.72</v>
      </c>
      <c r="F31" s="417">
        <f t="shared" si="9"/>
        <v>7566.72</v>
      </c>
      <c r="G31" s="417">
        <f t="shared" si="9"/>
        <v>7566.72</v>
      </c>
      <c r="H31" s="417">
        <f t="shared" si="9"/>
        <v>7566.72</v>
      </c>
      <c r="I31" s="417">
        <f t="shared" si="9"/>
        <v>7566.72</v>
      </c>
      <c r="J31" s="417">
        <f t="shared" si="9"/>
        <v>7566.72</v>
      </c>
      <c r="K31" s="417">
        <f t="shared" si="9"/>
        <v>7566.72</v>
      </c>
      <c r="L31" s="417">
        <f t="shared" si="9"/>
        <v>7566.72</v>
      </c>
      <c r="M31" s="417">
        <f t="shared" si="9"/>
        <v>7566.72</v>
      </c>
      <c r="N31" s="417">
        <f t="shared" si="9"/>
        <v>7566.72</v>
      </c>
      <c r="O31" s="417">
        <f t="shared" si="9"/>
        <v>7566.72</v>
      </c>
      <c r="P31" s="417">
        <f t="shared" si="9"/>
        <v>7566.72</v>
      </c>
      <c r="Q31" s="417">
        <f t="shared" si="9"/>
        <v>7566.72</v>
      </c>
      <c r="R31" s="417">
        <f t="shared" si="9"/>
        <v>7566.72</v>
      </c>
      <c r="S31" s="417">
        <f t="shared" si="9"/>
        <v>7566.72</v>
      </c>
    </row>
    <row r="32" spans="2:19" ht="12.95" customHeight="1" x14ac:dyDescent="0.15">
      <c r="B32" s="549"/>
      <c r="C32" s="169" t="s">
        <v>279</v>
      </c>
      <c r="D32" s="170"/>
      <c r="E32" s="416">
        <f t="shared" ref="E32:S32" si="10">ROUNDDOWN(E31/E25,2)</f>
        <v>1</v>
      </c>
      <c r="F32" s="417">
        <f t="shared" si="10"/>
        <v>1</v>
      </c>
      <c r="G32" s="417">
        <f t="shared" si="10"/>
        <v>1</v>
      </c>
      <c r="H32" s="417">
        <f t="shared" si="10"/>
        <v>1</v>
      </c>
      <c r="I32" s="417">
        <f t="shared" si="10"/>
        <v>1</v>
      </c>
      <c r="J32" s="417">
        <f t="shared" si="10"/>
        <v>1</v>
      </c>
      <c r="K32" s="417">
        <f t="shared" si="10"/>
        <v>1</v>
      </c>
      <c r="L32" s="417">
        <f t="shared" si="10"/>
        <v>1</v>
      </c>
      <c r="M32" s="417">
        <f t="shared" si="10"/>
        <v>1</v>
      </c>
      <c r="N32" s="417">
        <f t="shared" si="10"/>
        <v>1</v>
      </c>
      <c r="O32" s="417">
        <f t="shared" si="10"/>
        <v>1</v>
      </c>
      <c r="P32" s="417">
        <f t="shared" si="10"/>
        <v>1</v>
      </c>
      <c r="Q32" s="417">
        <f t="shared" si="10"/>
        <v>1</v>
      </c>
      <c r="R32" s="417">
        <f t="shared" si="10"/>
        <v>1</v>
      </c>
      <c r="S32" s="417">
        <f t="shared" si="10"/>
        <v>1</v>
      </c>
    </row>
    <row r="33" spans="2:19" ht="12.95" customHeight="1" x14ac:dyDescent="0.15">
      <c r="B33" s="549"/>
      <c r="C33" s="169" t="s">
        <v>281</v>
      </c>
      <c r="D33" s="170"/>
      <c r="E33" s="408">
        <f t="shared" ref="E33:S33" si="11">MAX(E29,E32)</f>
        <v>1</v>
      </c>
      <c r="F33" s="409">
        <f t="shared" si="11"/>
        <v>1</v>
      </c>
      <c r="G33" s="409">
        <f t="shared" si="11"/>
        <v>1</v>
      </c>
      <c r="H33" s="409">
        <f t="shared" si="11"/>
        <v>1</v>
      </c>
      <c r="I33" s="409">
        <f t="shared" si="11"/>
        <v>1</v>
      </c>
      <c r="J33" s="409">
        <f t="shared" si="11"/>
        <v>1</v>
      </c>
      <c r="K33" s="409">
        <f t="shared" si="11"/>
        <v>1</v>
      </c>
      <c r="L33" s="409">
        <f t="shared" si="11"/>
        <v>1</v>
      </c>
      <c r="M33" s="409">
        <f t="shared" si="11"/>
        <v>1</v>
      </c>
      <c r="N33" s="409">
        <f t="shared" si="11"/>
        <v>1</v>
      </c>
      <c r="O33" s="409">
        <f t="shared" si="11"/>
        <v>1</v>
      </c>
      <c r="P33" s="409">
        <f t="shared" si="11"/>
        <v>1</v>
      </c>
      <c r="Q33" s="409">
        <f t="shared" si="11"/>
        <v>1</v>
      </c>
      <c r="R33" s="409">
        <f t="shared" si="11"/>
        <v>1</v>
      </c>
      <c r="S33" s="409">
        <f t="shared" si="11"/>
        <v>1</v>
      </c>
    </row>
    <row r="34" spans="2:19" ht="12.95" customHeight="1" x14ac:dyDescent="0.15">
      <c r="B34" s="549"/>
      <c r="C34" s="169" t="s">
        <v>282</v>
      </c>
      <c r="D34" s="170"/>
      <c r="E34" s="408">
        <f t="shared" ref="E34:S34" si="12">(1-0.3*(3-E28))</f>
        <v>0.4</v>
      </c>
      <c r="F34" s="409">
        <f t="shared" si="12"/>
        <v>0.4</v>
      </c>
      <c r="G34" s="409">
        <f t="shared" si="12"/>
        <v>0.4</v>
      </c>
      <c r="H34" s="409">
        <f t="shared" si="12"/>
        <v>0.4</v>
      </c>
      <c r="I34" s="409">
        <f t="shared" si="12"/>
        <v>0.4</v>
      </c>
      <c r="J34" s="409">
        <f t="shared" si="12"/>
        <v>0.4</v>
      </c>
      <c r="K34" s="409">
        <f t="shared" si="12"/>
        <v>0.4</v>
      </c>
      <c r="L34" s="409">
        <f t="shared" si="12"/>
        <v>0.4</v>
      </c>
      <c r="M34" s="409">
        <f t="shared" si="12"/>
        <v>0.4</v>
      </c>
      <c r="N34" s="409">
        <f t="shared" si="12"/>
        <v>0.4</v>
      </c>
      <c r="O34" s="409">
        <f t="shared" si="12"/>
        <v>0.4</v>
      </c>
      <c r="P34" s="409">
        <f t="shared" si="12"/>
        <v>0.4</v>
      </c>
      <c r="Q34" s="409">
        <f t="shared" si="12"/>
        <v>0.4</v>
      </c>
      <c r="R34" s="409">
        <f t="shared" si="12"/>
        <v>0.4</v>
      </c>
      <c r="S34" s="409">
        <f t="shared" si="12"/>
        <v>0.4</v>
      </c>
    </row>
    <row r="35" spans="2:19" ht="12.95" customHeight="1" x14ac:dyDescent="0.15">
      <c r="B35" s="549"/>
      <c r="C35" s="169" t="s">
        <v>284</v>
      </c>
      <c r="D35" s="170"/>
      <c r="E35" s="408">
        <f t="shared" ref="E35:S35" si="13">E33*E34</f>
        <v>0.4</v>
      </c>
      <c r="F35" s="409">
        <f t="shared" si="13"/>
        <v>0.4</v>
      </c>
      <c r="G35" s="409">
        <f t="shared" si="13"/>
        <v>0.4</v>
      </c>
      <c r="H35" s="409">
        <f t="shared" si="13"/>
        <v>0.4</v>
      </c>
      <c r="I35" s="409">
        <f t="shared" si="13"/>
        <v>0.4</v>
      </c>
      <c r="J35" s="409">
        <f t="shared" si="13"/>
        <v>0.4</v>
      </c>
      <c r="K35" s="409">
        <f t="shared" si="13"/>
        <v>0.4</v>
      </c>
      <c r="L35" s="409">
        <f t="shared" si="13"/>
        <v>0.4</v>
      </c>
      <c r="M35" s="409">
        <f t="shared" si="13"/>
        <v>0.4</v>
      </c>
      <c r="N35" s="409">
        <f t="shared" si="13"/>
        <v>0.4</v>
      </c>
      <c r="O35" s="409">
        <f t="shared" si="13"/>
        <v>0.4</v>
      </c>
      <c r="P35" s="409">
        <f t="shared" si="13"/>
        <v>0.4</v>
      </c>
      <c r="Q35" s="409">
        <f t="shared" si="13"/>
        <v>0.4</v>
      </c>
      <c r="R35" s="409">
        <f t="shared" si="13"/>
        <v>0.4</v>
      </c>
      <c r="S35" s="409">
        <f t="shared" si="13"/>
        <v>0.4</v>
      </c>
    </row>
    <row r="36" spans="2:19" ht="12.95" customHeight="1" x14ac:dyDescent="0.15">
      <c r="B36" s="545"/>
      <c r="C36" s="171" t="s">
        <v>286</v>
      </c>
      <c r="D36" s="172"/>
      <c r="E36" s="410">
        <f t="shared" ref="E36:S36" si="14">ROUNDDOWN(E35*E25,2)</f>
        <v>3026.68</v>
      </c>
      <c r="F36" s="411">
        <f t="shared" si="14"/>
        <v>3026.68</v>
      </c>
      <c r="G36" s="411">
        <f t="shared" si="14"/>
        <v>3026.68</v>
      </c>
      <c r="H36" s="411">
        <f t="shared" si="14"/>
        <v>3026.68</v>
      </c>
      <c r="I36" s="411">
        <f t="shared" si="14"/>
        <v>3026.68</v>
      </c>
      <c r="J36" s="411">
        <f t="shared" si="14"/>
        <v>3026.68</v>
      </c>
      <c r="K36" s="411">
        <f t="shared" si="14"/>
        <v>3026.68</v>
      </c>
      <c r="L36" s="411">
        <f t="shared" si="14"/>
        <v>3026.68</v>
      </c>
      <c r="M36" s="411">
        <f t="shared" si="14"/>
        <v>3026.68</v>
      </c>
      <c r="N36" s="411">
        <f t="shared" si="14"/>
        <v>3026.68</v>
      </c>
      <c r="O36" s="411">
        <f t="shared" si="14"/>
        <v>3026.68</v>
      </c>
      <c r="P36" s="411">
        <f t="shared" si="14"/>
        <v>3026.68</v>
      </c>
      <c r="Q36" s="411">
        <f t="shared" si="14"/>
        <v>3026.68</v>
      </c>
      <c r="R36" s="411">
        <f t="shared" si="14"/>
        <v>3026.68</v>
      </c>
      <c r="S36" s="411">
        <f t="shared" si="14"/>
        <v>3026.68</v>
      </c>
    </row>
    <row r="37" spans="2:19" ht="12.95" customHeight="1" x14ac:dyDescent="0.15">
      <c r="B37" s="569" t="s">
        <v>287</v>
      </c>
      <c r="C37" s="168" t="s">
        <v>30</v>
      </c>
      <c r="D37" s="240" t="s">
        <v>31</v>
      </c>
      <c r="E37" s="418">
        <v>800</v>
      </c>
      <c r="F37" s="419">
        <f t="shared" ref="F37:S37" si="15">+E37</f>
        <v>800</v>
      </c>
      <c r="G37" s="419">
        <f t="shared" si="15"/>
        <v>800</v>
      </c>
      <c r="H37" s="419">
        <f t="shared" si="15"/>
        <v>800</v>
      </c>
      <c r="I37" s="419">
        <f t="shared" si="15"/>
        <v>800</v>
      </c>
      <c r="J37" s="419">
        <f t="shared" si="15"/>
        <v>800</v>
      </c>
      <c r="K37" s="419">
        <f t="shared" si="15"/>
        <v>800</v>
      </c>
      <c r="L37" s="419">
        <f t="shared" si="15"/>
        <v>800</v>
      </c>
      <c r="M37" s="419">
        <f t="shared" si="15"/>
        <v>800</v>
      </c>
      <c r="N37" s="419">
        <f t="shared" si="15"/>
        <v>800</v>
      </c>
      <c r="O37" s="419">
        <f t="shared" si="15"/>
        <v>800</v>
      </c>
      <c r="P37" s="419">
        <f t="shared" si="15"/>
        <v>800</v>
      </c>
      <c r="Q37" s="419">
        <f t="shared" si="15"/>
        <v>800</v>
      </c>
      <c r="R37" s="419">
        <f t="shared" si="15"/>
        <v>800</v>
      </c>
      <c r="S37" s="419">
        <f t="shared" si="15"/>
        <v>800</v>
      </c>
    </row>
    <row r="38" spans="2:19" ht="12.95" customHeight="1" x14ac:dyDescent="0.15">
      <c r="B38" s="549"/>
      <c r="C38" s="169" t="s">
        <v>288</v>
      </c>
      <c r="D38" s="170" t="s">
        <v>31</v>
      </c>
      <c r="E38" s="420">
        <f t="shared" ref="E38:S38" si="16">E37*180</f>
        <v>144000</v>
      </c>
      <c r="F38" s="421">
        <f t="shared" si="16"/>
        <v>144000</v>
      </c>
      <c r="G38" s="421">
        <f t="shared" si="16"/>
        <v>144000</v>
      </c>
      <c r="H38" s="421">
        <f t="shared" si="16"/>
        <v>144000</v>
      </c>
      <c r="I38" s="421">
        <f t="shared" si="16"/>
        <v>144000</v>
      </c>
      <c r="J38" s="421">
        <f t="shared" si="16"/>
        <v>144000</v>
      </c>
      <c r="K38" s="421">
        <f t="shared" si="16"/>
        <v>144000</v>
      </c>
      <c r="L38" s="421">
        <f t="shared" si="16"/>
        <v>144000</v>
      </c>
      <c r="M38" s="421">
        <f t="shared" si="16"/>
        <v>144000</v>
      </c>
      <c r="N38" s="421">
        <f t="shared" si="16"/>
        <v>144000</v>
      </c>
      <c r="O38" s="421">
        <f t="shared" si="16"/>
        <v>144000</v>
      </c>
      <c r="P38" s="421">
        <f t="shared" si="16"/>
        <v>144000</v>
      </c>
      <c r="Q38" s="421">
        <f t="shared" si="16"/>
        <v>144000</v>
      </c>
      <c r="R38" s="421">
        <f t="shared" si="16"/>
        <v>144000</v>
      </c>
      <c r="S38" s="421">
        <f t="shared" si="16"/>
        <v>144000</v>
      </c>
    </row>
    <row r="39" spans="2:19" ht="12.95" customHeight="1" x14ac:dyDescent="0.15">
      <c r="B39" s="549"/>
      <c r="C39" s="169" t="s">
        <v>290</v>
      </c>
      <c r="D39" s="170" t="s">
        <v>291</v>
      </c>
      <c r="E39" s="422">
        <f t="shared" ref="E39:S39" si="17">ROUNDDOWN(PI()*E24^4/64,3)</f>
        <v>4.9000000000000002E-2</v>
      </c>
      <c r="F39" s="423">
        <f t="shared" si="17"/>
        <v>4.9000000000000002E-2</v>
      </c>
      <c r="G39" s="423">
        <f t="shared" si="17"/>
        <v>4.9000000000000002E-2</v>
      </c>
      <c r="H39" s="423">
        <f t="shared" si="17"/>
        <v>4.9000000000000002E-2</v>
      </c>
      <c r="I39" s="423">
        <f t="shared" si="17"/>
        <v>4.9000000000000002E-2</v>
      </c>
      <c r="J39" s="423">
        <f t="shared" si="17"/>
        <v>4.9000000000000002E-2</v>
      </c>
      <c r="K39" s="423">
        <f t="shared" si="17"/>
        <v>4.9000000000000002E-2</v>
      </c>
      <c r="L39" s="423">
        <f t="shared" si="17"/>
        <v>4.9000000000000002E-2</v>
      </c>
      <c r="M39" s="423">
        <f t="shared" si="17"/>
        <v>4.9000000000000002E-2</v>
      </c>
      <c r="N39" s="423">
        <f t="shared" si="17"/>
        <v>4.9000000000000002E-2</v>
      </c>
      <c r="O39" s="423">
        <f t="shared" si="17"/>
        <v>4.9000000000000002E-2</v>
      </c>
      <c r="P39" s="423">
        <f t="shared" si="17"/>
        <v>4.9000000000000002E-2</v>
      </c>
      <c r="Q39" s="423">
        <f t="shared" si="17"/>
        <v>4.9000000000000002E-2</v>
      </c>
      <c r="R39" s="423">
        <f t="shared" si="17"/>
        <v>4.9000000000000002E-2</v>
      </c>
      <c r="S39" s="423">
        <f t="shared" si="17"/>
        <v>4.9000000000000002E-2</v>
      </c>
    </row>
    <row r="40" spans="2:19" ht="12.95" customHeight="1" x14ac:dyDescent="0.15">
      <c r="B40" s="549"/>
      <c r="C40" s="169" t="s">
        <v>111</v>
      </c>
      <c r="D40" s="170"/>
      <c r="E40" s="416">
        <f t="shared" ref="E40:S40" si="18">ROUNDDOWN((E36*E24/4/E38/E39)^(1/4),2)</f>
        <v>0.56999999999999995</v>
      </c>
      <c r="F40" s="417">
        <f t="shared" si="18"/>
        <v>0.56999999999999995</v>
      </c>
      <c r="G40" s="417">
        <f t="shared" si="18"/>
        <v>0.56999999999999995</v>
      </c>
      <c r="H40" s="417">
        <f t="shared" si="18"/>
        <v>0.56999999999999995</v>
      </c>
      <c r="I40" s="417">
        <f t="shared" si="18"/>
        <v>0.56999999999999995</v>
      </c>
      <c r="J40" s="417">
        <f t="shared" si="18"/>
        <v>0.56999999999999995</v>
      </c>
      <c r="K40" s="417">
        <f t="shared" si="18"/>
        <v>0.56999999999999995</v>
      </c>
      <c r="L40" s="417">
        <f t="shared" si="18"/>
        <v>0.56999999999999995</v>
      </c>
      <c r="M40" s="417">
        <f t="shared" si="18"/>
        <v>0.56999999999999995</v>
      </c>
      <c r="N40" s="417">
        <f t="shared" si="18"/>
        <v>0.56999999999999995</v>
      </c>
      <c r="O40" s="417">
        <f t="shared" si="18"/>
        <v>0.56999999999999995</v>
      </c>
      <c r="P40" s="417">
        <f t="shared" si="18"/>
        <v>0.56999999999999995</v>
      </c>
      <c r="Q40" s="417">
        <f t="shared" si="18"/>
        <v>0.56999999999999995</v>
      </c>
      <c r="R40" s="417">
        <f t="shared" si="18"/>
        <v>0.56999999999999995</v>
      </c>
      <c r="S40" s="417">
        <f t="shared" si="18"/>
        <v>0.56999999999999995</v>
      </c>
    </row>
    <row r="41" spans="2:19" ht="12.95" customHeight="1" x14ac:dyDescent="0.15">
      <c r="B41" s="549"/>
      <c r="C41" s="169" t="s">
        <v>26</v>
      </c>
      <c r="D41" s="170" t="s">
        <v>20</v>
      </c>
      <c r="E41" s="408">
        <f>鉛直!O10</f>
        <v>8</v>
      </c>
      <c r="F41" s="409">
        <f>鉛直!P10</f>
        <v>9.02</v>
      </c>
      <c r="G41" s="409">
        <f>鉛直!Q10</f>
        <v>9.02</v>
      </c>
      <c r="H41" s="409">
        <f>鉛直!R10</f>
        <v>9.02</v>
      </c>
      <c r="I41" s="409">
        <f>鉛直!S10</f>
        <v>9.02</v>
      </c>
      <c r="J41" s="409">
        <f t="shared" ref="J41:S41" si="19">I41</f>
        <v>9.02</v>
      </c>
      <c r="K41" s="409">
        <f t="shared" si="19"/>
        <v>9.02</v>
      </c>
      <c r="L41" s="409">
        <f t="shared" si="19"/>
        <v>9.02</v>
      </c>
      <c r="M41" s="409">
        <f t="shared" si="19"/>
        <v>9.02</v>
      </c>
      <c r="N41" s="409">
        <f t="shared" si="19"/>
        <v>9.02</v>
      </c>
      <c r="O41" s="409">
        <f t="shared" si="19"/>
        <v>9.02</v>
      </c>
      <c r="P41" s="409">
        <f t="shared" si="19"/>
        <v>9.02</v>
      </c>
      <c r="Q41" s="409">
        <f t="shared" si="19"/>
        <v>9.02</v>
      </c>
      <c r="R41" s="409">
        <f t="shared" si="19"/>
        <v>9.02</v>
      </c>
      <c r="S41" s="409">
        <f t="shared" si="19"/>
        <v>9.02</v>
      </c>
    </row>
    <row r="42" spans="2:19" ht="12.95" customHeight="1" x14ac:dyDescent="0.15">
      <c r="B42" s="549"/>
      <c r="C42" s="169" t="s">
        <v>294</v>
      </c>
      <c r="D42" s="170"/>
      <c r="E42" s="408">
        <f t="shared" ref="E42:S42" si="20">ROUNDDOWN(E40*E41,1)</f>
        <v>4.5</v>
      </c>
      <c r="F42" s="409">
        <f t="shared" si="20"/>
        <v>5.0999999999999996</v>
      </c>
      <c r="G42" s="409">
        <f t="shared" si="20"/>
        <v>5.0999999999999996</v>
      </c>
      <c r="H42" s="409">
        <f t="shared" si="20"/>
        <v>5.0999999999999996</v>
      </c>
      <c r="I42" s="409">
        <f t="shared" si="20"/>
        <v>5.0999999999999996</v>
      </c>
      <c r="J42" s="409">
        <f t="shared" si="20"/>
        <v>5.0999999999999996</v>
      </c>
      <c r="K42" s="409">
        <f t="shared" si="20"/>
        <v>5.0999999999999996</v>
      </c>
      <c r="L42" s="409">
        <f t="shared" si="20"/>
        <v>5.0999999999999996</v>
      </c>
      <c r="M42" s="409">
        <f t="shared" si="20"/>
        <v>5.0999999999999996</v>
      </c>
      <c r="N42" s="409">
        <f t="shared" si="20"/>
        <v>5.0999999999999996</v>
      </c>
      <c r="O42" s="409">
        <f t="shared" si="20"/>
        <v>5.0999999999999996</v>
      </c>
      <c r="P42" s="409">
        <f t="shared" si="20"/>
        <v>5.0999999999999996</v>
      </c>
      <c r="Q42" s="409">
        <f t="shared" si="20"/>
        <v>5.0999999999999996</v>
      </c>
      <c r="R42" s="409">
        <f t="shared" si="20"/>
        <v>5.0999999999999996</v>
      </c>
      <c r="S42" s="409">
        <f t="shared" si="20"/>
        <v>5.0999999999999996</v>
      </c>
    </row>
    <row r="43" spans="2:19" ht="12.95" customHeight="1" x14ac:dyDescent="0.15">
      <c r="B43" s="549"/>
      <c r="C43" s="169" t="s">
        <v>296</v>
      </c>
      <c r="D43" s="170"/>
      <c r="E43" s="422">
        <f>IF(E45=0.25,IF(E42&lt;5,VLOOKUP(E42,Sheet3!$A$5:$I$50,2,0),Sheet3!$B$50),IF(E42&lt;5,VLOOKUP(E42,Sheet3!$A$5:$I$50,6,0),Sheet3!$F$50))</f>
        <v>0.64400000000000002</v>
      </c>
      <c r="F43" s="422">
        <f>IF(F45=0.25,IF(F42&lt;5,VLOOKUP(F42,Sheet3!$A$5:$I$50,2,0),Sheet3!$B$50),IF(F42&lt;5,VLOOKUP(F42,Sheet3!$A$5:$I$50,6,0),Sheet3!$F$50))</f>
        <v>0.64500000000000002</v>
      </c>
      <c r="G43" s="422">
        <f>IF(G45=0.25,IF(G42&lt;5,VLOOKUP(G42,Sheet3!$A$5:$I$50,2,0),Sheet3!$B$50),IF(G42&lt;5,VLOOKUP(G42,Sheet3!$A$5:$I$50,6,0),Sheet3!$F$50))</f>
        <v>0.64500000000000002</v>
      </c>
      <c r="H43" s="422">
        <f>IF(H45=0.25,IF(H42&lt;5,VLOOKUP(H42,Sheet3!$A$5:$I$50,2,0),Sheet3!$B$50),IF(H42&lt;5,VLOOKUP(H42,Sheet3!$A$5:$I$50,6,0),Sheet3!$F$50))</f>
        <v>0.64500000000000002</v>
      </c>
      <c r="I43" s="422">
        <f>IF(I45=0.25,IF(I42&lt;5,VLOOKUP(I42,Sheet3!$A$5:$I$50,2,0),Sheet3!$B$50),IF(I42&lt;5,VLOOKUP(I42,Sheet3!$A$5:$I$50,6,0),Sheet3!$F$50))</f>
        <v>0.64500000000000002</v>
      </c>
      <c r="J43" s="422">
        <f>IF(J45=0.25,IF(J42&lt;5,VLOOKUP(J42,Sheet3!$A$5:$I$50,2,0),Sheet3!$B$50),IF(J42&lt;5,VLOOKUP(J42,Sheet3!$A$5:$I$50,6,0),Sheet3!$F$50))</f>
        <v>0.64500000000000002</v>
      </c>
      <c r="K43" s="422">
        <f>IF(K45=0.25,IF(K42&lt;5,VLOOKUP(K42,Sheet3!$A$5:$I$50,2,0),Sheet3!$B$50),IF(K42&lt;5,VLOOKUP(K42,Sheet3!$A$5:$I$50,6,0),Sheet3!$F$50))</f>
        <v>0.64500000000000002</v>
      </c>
      <c r="L43" s="422">
        <f>IF(L45=0.25,IF(L42&lt;5,VLOOKUP(L42,Sheet3!$A$5:$I$50,2,0),Sheet3!$B$50),IF(L42&lt;5,VLOOKUP(L42,Sheet3!$A$5:$I$50,6,0),Sheet3!$F$50))</f>
        <v>0.64500000000000002</v>
      </c>
      <c r="M43" s="422">
        <f>IF(M45=0.25,IF(M42&lt;5,VLOOKUP(M42,Sheet3!$A$5:$I$50,2,0),Sheet3!$B$50),IF(M42&lt;5,VLOOKUP(M42,Sheet3!$A$5:$I$50,6,0),Sheet3!$F$50))</f>
        <v>0.64500000000000002</v>
      </c>
      <c r="N43" s="422">
        <f>IF(N45=0.25,IF(N42&lt;5,VLOOKUP(N42,Sheet3!$A$5:$I$50,2,0),Sheet3!$B$50),IF(N42&lt;5,VLOOKUP(N42,Sheet3!$A$5:$I$50,6,0),Sheet3!$F$50))</f>
        <v>0.64500000000000002</v>
      </c>
      <c r="O43" s="422">
        <f>IF(O45=0.25,IF(O42&lt;5,VLOOKUP(O42,Sheet3!$A$5:$I$50,2,0),Sheet3!$B$50),IF(O42&lt;5,VLOOKUP(O42,Sheet3!$A$5:$I$50,6,0),Sheet3!$F$50))</f>
        <v>0.64500000000000002</v>
      </c>
      <c r="P43" s="422">
        <f>IF(P45=0.25,IF(P42&lt;5,VLOOKUP(P42,Sheet3!$A$5:$I$50,2,0),Sheet3!$B$50),IF(P42&lt;5,VLOOKUP(P42,Sheet3!$A$5:$I$50,6,0),Sheet3!$F$50))</f>
        <v>0.64500000000000002</v>
      </c>
      <c r="Q43" s="422">
        <f>IF(Q45=0.25,IF(Q42&lt;5,VLOOKUP(Q42,Sheet3!$A$5:$I$50,2,0),Sheet3!$B$50),IF(Q42&lt;5,VLOOKUP(Q42,Sheet3!$A$5:$I$50,6,0),Sheet3!$F$50))</f>
        <v>0.64500000000000002</v>
      </c>
      <c r="R43" s="422">
        <f>IF(R45=0.25,IF(R42&lt;5,VLOOKUP(R42,Sheet3!$A$5:$I$50,2,0),Sheet3!$B$50),IF(R42&lt;5,VLOOKUP(R42,Sheet3!$A$5:$I$50,6,0),Sheet3!$F$50))</f>
        <v>0.64500000000000002</v>
      </c>
      <c r="S43" s="422">
        <f>IF(S45=0.25,IF(S42&lt;5,VLOOKUP(S42,Sheet3!$A$5:$I$50,2,0),Sheet3!$B$50),IF(S42&lt;5,VLOOKUP(S42,Sheet3!$A$5:$I$50,6,0),Sheet3!$F$50))</f>
        <v>0.64500000000000002</v>
      </c>
    </row>
    <row r="44" spans="2:19" ht="12.95" customHeight="1" x14ac:dyDescent="0.15">
      <c r="B44" s="549"/>
      <c r="C44" s="169" t="s">
        <v>299</v>
      </c>
      <c r="D44" s="170"/>
      <c r="E44" s="422">
        <f>IF(E45=0.25,IF(E42&lt;5,VLOOKUP(E42,Sheet3!$A$5:$I$50,3,0),Sheet3!$C$50),IF(E42&lt;5,VLOOKUP(E42,Sheet3!$A$5:$I$50,7,0),Sheet3!$G$50))</f>
        <v>0</v>
      </c>
      <c r="F44" s="422">
        <f>IF(F45=0.25,IF(F42&lt;5,VLOOKUP(F42,Sheet3!$A$5:$I$50,3,0),Sheet3!$C$50),IF(F42&lt;5,VLOOKUP(F42,Sheet3!$A$5:$I$50,7,0),Sheet3!$G$50))</f>
        <v>0</v>
      </c>
      <c r="G44" s="422">
        <f>IF(G45=0.25,IF(G42&lt;5,VLOOKUP(G42,Sheet3!$A$5:$I$50,3,0),Sheet3!$C$50),IF(G42&lt;5,VLOOKUP(G42,Sheet3!$A$5:$I$50,7,0),Sheet3!$G$50))</f>
        <v>0</v>
      </c>
      <c r="H44" s="422">
        <f>IF(H45=0.25,IF(H42&lt;5,VLOOKUP(H42,Sheet3!$A$5:$I$50,3,0),Sheet3!$C$50),IF(H42&lt;5,VLOOKUP(H42,Sheet3!$A$5:$I$50,7,0),Sheet3!$G$50))</f>
        <v>0</v>
      </c>
      <c r="I44" s="422">
        <f>IF(I45=0.25,IF(I42&lt;5,VLOOKUP(I42,Sheet3!$A$5:$I$50,3,0),Sheet3!$C$50),IF(I42&lt;5,VLOOKUP(I42,Sheet3!$A$5:$I$50,7,0),Sheet3!$G$50))</f>
        <v>0</v>
      </c>
      <c r="J44" s="422">
        <f>IF(J45=0.25,IF(J42&lt;5,VLOOKUP(J42,Sheet3!$A$5:$I$50,3,0),Sheet3!$C$50),IF(J42&lt;5,VLOOKUP(J42,Sheet3!$A$5:$I$50,7,0),Sheet3!$G$50))</f>
        <v>0</v>
      </c>
      <c r="K44" s="422">
        <f>IF(K45=0.25,IF(K42&lt;5,VLOOKUP(K42,Sheet3!$A$5:$I$50,3,0),Sheet3!$C$50),IF(K42&lt;5,VLOOKUP(K42,Sheet3!$A$5:$I$50,7,0),Sheet3!$G$50))</f>
        <v>0</v>
      </c>
      <c r="L44" s="422">
        <f>IF(L45=0.25,IF(L42&lt;5,VLOOKUP(L42,Sheet3!$A$5:$I$50,3,0),Sheet3!$C$50),IF(L42&lt;5,VLOOKUP(L42,Sheet3!$A$5:$I$50,7,0),Sheet3!$G$50))</f>
        <v>0</v>
      </c>
      <c r="M44" s="422">
        <f>IF(M45=0.25,IF(M42&lt;5,VLOOKUP(M42,Sheet3!$A$5:$I$50,3,0),Sheet3!$C$50),IF(M42&lt;5,VLOOKUP(M42,Sheet3!$A$5:$I$50,7,0),Sheet3!$G$50))</f>
        <v>0</v>
      </c>
      <c r="N44" s="422">
        <f>IF(N45=0.25,IF(N42&lt;5,VLOOKUP(N42,Sheet3!$A$5:$I$50,3,0),Sheet3!$C$50),IF(N42&lt;5,VLOOKUP(N42,Sheet3!$A$5:$I$50,7,0),Sheet3!$G$50))</f>
        <v>0</v>
      </c>
      <c r="O44" s="422">
        <f>IF(O45=0.25,IF(O42&lt;5,VLOOKUP(O42,Sheet3!$A$5:$I$50,3,0),Sheet3!$C$50),IF(O42&lt;5,VLOOKUP(O42,Sheet3!$A$5:$I$50,7,0),Sheet3!$G$50))</f>
        <v>0</v>
      </c>
      <c r="P44" s="422">
        <f>IF(P45=0.25,IF(P42&lt;5,VLOOKUP(P42,Sheet3!$A$5:$I$50,3,0),Sheet3!$C$50),IF(P42&lt;5,VLOOKUP(P42,Sheet3!$A$5:$I$50,7,0),Sheet3!$G$50))</f>
        <v>0</v>
      </c>
      <c r="Q44" s="422">
        <f>IF(Q45=0.25,IF(Q42&lt;5,VLOOKUP(Q42,Sheet3!$A$5:$I$50,3,0),Sheet3!$C$50),IF(Q42&lt;5,VLOOKUP(Q42,Sheet3!$A$5:$I$50,7,0),Sheet3!$G$50))</f>
        <v>0</v>
      </c>
      <c r="R44" s="422">
        <f>IF(R45=0.25,IF(R42&lt;5,VLOOKUP(R42,Sheet3!$A$5:$I$50,3,0),Sheet3!$C$50),IF(R42&lt;5,VLOOKUP(R42,Sheet3!$A$5:$I$50,7,0),Sheet3!$G$50))</f>
        <v>0</v>
      </c>
      <c r="S44" s="422">
        <f>IF(S45=0.25,IF(S42&lt;5,VLOOKUP(S42,Sheet3!$A$5:$I$50,3,0),Sheet3!$C$50),IF(S42&lt;5,VLOOKUP(S42,Sheet3!$A$5:$I$50,7,0),Sheet3!$G$50))</f>
        <v>0</v>
      </c>
    </row>
    <row r="45" spans="2:19" ht="12.95" customHeight="1" x14ac:dyDescent="0.15">
      <c r="B45" s="549"/>
      <c r="C45" s="169" t="s">
        <v>301</v>
      </c>
      <c r="D45" s="170"/>
      <c r="E45" s="346">
        <v>0</v>
      </c>
      <c r="F45" s="346">
        <v>0</v>
      </c>
      <c r="G45" s="346">
        <v>0</v>
      </c>
      <c r="H45" s="346">
        <v>0</v>
      </c>
      <c r="I45" s="346">
        <v>0</v>
      </c>
      <c r="J45" s="346">
        <v>0</v>
      </c>
      <c r="K45" s="346">
        <v>0</v>
      </c>
      <c r="L45" s="346">
        <v>0</v>
      </c>
      <c r="M45" s="346">
        <v>0</v>
      </c>
      <c r="N45" s="346">
        <v>0</v>
      </c>
      <c r="O45" s="346">
        <v>0</v>
      </c>
      <c r="P45" s="346">
        <v>0</v>
      </c>
      <c r="Q45" s="346">
        <v>0</v>
      </c>
      <c r="R45" s="346">
        <v>0</v>
      </c>
      <c r="S45" s="346">
        <v>0</v>
      </c>
    </row>
    <row r="46" spans="2:19" ht="12.95" customHeight="1" x14ac:dyDescent="0.15">
      <c r="B46" s="549"/>
      <c r="C46" s="169" t="s">
        <v>303</v>
      </c>
      <c r="D46" s="170" t="s">
        <v>304</v>
      </c>
      <c r="E46" s="416">
        <f t="shared" ref="E46:S46" si="21">ROUNDDOWN(E20/2/E40*E43,2)</f>
        <v>7.64</v>
      </c>
      <c r="F46" s="417">
        <f t="shared" si="21"/>
        <v>7.65</v>
      </c>
      <c r="G46" s="417">
        <f t="shared" si="21"/>
        <v>7.65</v>
      </c>
      <c r="H46" s="417">
        <f t="shared" si="21"/>
        <v>7.65</v>
      </c>
      <c r="I46" s="417">
        <f t="shared" si="21"/>
        <v>5.0999999999999996</v>
      </c>
      <c r="J46" s="417">
        <f t="shared" si="21"/>
        <v>7.65</v>
      </c>
      <c r="K46" s="417">
        <f t="shared" si="21"/>
        <v>7.65</v>
      </c>
      <c r="L46" s="417">
        <f t="shared" si="21"/>
        <v>5.0999999999999996</v>
      </c>
      <c r="M46" s="417">
        <f t="shared" si="21"/>
        <v>7.65</v>
      </c>
      <c r="N46" s="417">
        <f t="shared" si="21"/>
        <v>7.65</v>
      </c>
      <c r="O46" s="417">
        <f t="shared" si="21"/>
        <v>5.0999999999999996</v>
      </c>
      <c r="P46" s="417">
        <f t="shared" si="21"/>
        <v>7.65</v>
      </c>
      <c r="Q46" s="417">
        <f t="shared" si="21"/>
        <v>7.65</v>
      </c>
      <c r="R46" s="417">
        <f t="shared" si="21"/>
        <v>7.65</v>
      </c>
      <c r="S46" s="417">
        <f t="shared" si="21"/>
        <v>7.65</v>
      </c>
    </row>
    <row r="47" spans="2:19" ht="12.95" customHeight="1" x14ac:dyDescent="0.15">
      <c r="B47" s="549"/>
      <c r="C47" s="169" t="s">
        <v>306</v>
      </c>
      <c r="D47" s="170" t="s">
        <v>304</v>
      </c>
      <c r="E47" s="416">
        <f t="shared" ref="E47:S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17">
        <f t="shared" si="22"/>
        <v>0</v>
      </c>
    </row>
    <row r="48" spans="2:19" ht="12.95" customHeight="1" x14ac:dyDescent="0.15">
      <c r="B48" s="545"/>
      <c r="C48" s="171" t="s">
        <v>308</v>
      </c>
      <c r="D48" s="172" t="s">
        <v>304</v>
      </c>
      <c r="E48" s="410">
        <f t="shared" ref="E48:S48" si="23">ROUNDDOWN(MAX(E46:E47),2)</f>
        <v>7.64</v>
      </c>
      <c r="F48" s="411">
        <f t="shared" si="23"/>
        <v>7.65</v>
      </c>
      <c r="G48" s="411">
        <f t="shared" si="23"/>
        <v>7.65</v>
      </c>
      <c r="H48" s="411">
        <f t="shared" si="23"/>
        <v>7.65</v>
      </c>
      <c r="I48" s="411">
        <f t="shared" si="23"/>
        <v>5.0999999999999996</v>
      </c>
      <c r="J48" s="411">
        <f t="shared" si="23"/>
        <v>7.65</v>
      </c>
      <c r="K48" s="411">
        <f t="shared" si="23"/>
        <v>7.65</v>
      </c>
      <c r="L48" s="411">
        <f t="shared" si="23"/>
        <v>5.0999999999999996</v>
      </c>
      <c r="M48" s="411">
        <f t="shared" si="23"/>
        <v>7.65</v>
      </c>
      <c r="N48" s="411">
        <f t="shared" si="23"/>
        <v>7.65</v>
      </c>
      <c r="O48" s="411">
        <f t="shared" si="23"/>
        <v>5.0999999999999996</v>
      </c>
      <c r="P48" s="411">
        <f t="shared" si="23"/>
        <v>7.65</v>
      </c>
      <c r="Q48" s="411">
        <f t="shared" si="23"/>
        <v>7.65</v>
      </c>
      <c r="R48" s="411">
        <f t="shared" si="23"/>
        <v>7.65</v>
      </c>
      <c r="S48" s="411">
        <f t="shared" si="23"/>
        <v>7.65</v>
      </c>
    </row>
    <row r="49" spans="2:19" ht="12.95" customHeight="1" x14ac:dyDescent="0.15">
      <c r="B49" s="574" t="s">
        <v>311</v>
      </c>
      <c r="C49" s="168" t="s">
        <v>312</v>
      </c>
      <c r="D49" s="240" t="s">
        <v>126</v>
      </c>
      <c r="E49" s="424">
        <f>E11/E19</f>
        <v>120.25</v>
      </c>
      <c r="F49" s="425">
        <f t="shared" ref="F49:S49" si="24">+F11/F19</f>
        <v>236.3</v>
      </c>
      <c r="G49" s="425">
        <f t="shared" si="24"/>
        <v>155.19999999999999</v>
      </c>
      <c r="H49" s="425">
        <f t="shared" si="24"/>
        <v>208</v>
      </c>
      <c r="I49" s="425">
        <f t="shared" si="24"/>
        <v>221.83333333333334</v>
      </c>
      <c r="J49" s="425">
        <f t="shared" si="24"/>
        <v>230.8</v>
      </c>
      <c r="K49" s="425">
        <f t="shared" si="24"/>
        <v>193.45</v>
      </c>
      <c r="L49" s="425">
        <f t="shared" si="24"/>
        <v>208.73333333333335</v>
      </c>
      <c r="M49" s="425">
        <f t="shared" si="24"/>
        <v>215</v>
      </c>
      <c r="N49" s="425">
        <f t="shared" si="24"/>
        <v>196</v>
      </c>
      <c r="O49" s="425">
        <f t="shared" si="24"/>
        <v>218.03333333333333</v>
      </c>
      <c r="P49" s="425">
        <f t="shared" si="24"/>
        <v>243.8</v>
      </c>
      <c r="Q49" s="425">
        <f t="shared" si="24"/>
        <v>108.6</v>
      </c>
      <c r="R49" s="425">
        <f t="shared" si="24"/>
        <v>213.55</v>
      </c>
      <c r="S49" s="425">
        <f t="shared" si="24"/>
        <v>146.55000000000001</v>
      </c>
    </row>
    <row r="50" spans="2:19" ht="12.95" customHeight="1" x14ac:dyDescent="0.15">
      <c r="B50" s="563"/>
      <c r="C50" s="169" t="s">
        <v>315</v>
      </c>
      <c r="D50" s="170" t="s">
        <v>31</v>
      </c>
      <c r="E50" s="426">
        <f t="shared" ref="E50:S50" si="25">(E49/E56)+E48/(2*E39/E27)</f>
        <v>231.06623892787269</v>
      </c>
      <c r="F50" s="426">
        <f t="shared" si="25"/>
        <v>378.92772891071485</v>
      </c>
      <c r="G50" s="426">
        <f t="shared" si="25"/>
        <v>275.66800183269316</v>
      </c>
      <c r="H50" s="426">
        <f t="shared" si="25"/>
        <v>342.89504979470973</v>
      </c>
      <c r="I50" s="426">
        <f t="shared" si="25"/>
        <v>334.48778866694755</v>
      </c>
      <c r="J50" s="426">
        <f t="shared" si="25"/>
        <v>371.9249114146715</v>
      </c>
      <c r="K50" s="426">
        <f t="shared" si="25"/>
        <v>324.36941441881311</v>
      </c>
      <c r="L50" s="426">
        <f t="shared" si="25"/>
        <v>317.80835063091695</v>
      </c>
      <c r="M50" s="426">
        <f t="shared" si="25"/>
        <v>351.8077266078559</v>
      </c>
      <c r="N50" s="426">
        <f t="shared" si="25"/>
        <v>327.61617525788779</v>
      </c>
      <c r="O50" s="426">
        <f t="shared" si="25"/>
        <v>329.6494783969539</v>
      </c>
      <c r="P50" s="426">
        <f t="shared" si="25"/>
        <v>388.47702549622858</v>
      </c>
      <c r="Q50" s="426">
        <f t="shared" si="25"/>
        <v>216.33503904803456</v>
      </c>
      <c r="R50" s="426">
        <f t="shared" si="25"/>
        <v>349.96152926798993</v>
      </c>
      <c r="S50" s="426">
        <f t="shared" si="25"/>
        <v>264.65447977073404</v>
      </c>
    </row>
    <row r="51" spans="2:19" ht="12.95" customHeight="1" x14ac:dyDescent="0.15">
      <c r="B51" s="563"/>
      <c r="C51" s="169" t="s">
        <v>159</v>
      </c>
      <c r="D51" s="170" t="s">
        <v>31</v>
      </c>
      <c r="E51" s="426">
        <f t="shared" ref="E51:S51" si="26">2/3*E37</f>
        <v>533.33333333333326</v>
      </c>
      <c r="F51" s="427">
        <f t="shared" si="26"/>
        <v>533.33333333333326</v>
      </c>
      <c r="G51" s="427">
        <f t="shared" si="26"/>
        <v>533.33333333333326</v>
      </c>
      <c r="H51" s="427">
        <f t="shared" si="26"/>
        <v>533.33333333333326</v>
      </c>
      <c r="I51" s="427">
        <f t="shared" si="26"/>
        <v>533.33333333333326</v>
      </c>
      <c r="J51" s="427">
        <f t="shared" si="26"/>
        <v>533.33333333333326</v>
      </c>
      <c r="K51" s="427">
        <f t="shared" si="26"/>
        <v>533.33333333333326</v>
      </c>
      <c r="L51" s="427">
        <f t="shared" si="26"/>
        <v>533.33333333333326</v>
      </c>
      <c r="M51" s="427">
        <f t="shared" si="26"/>
        <v>533.33333333333326</v>
      </c>
      <c r="N51" s="427">
        <f t="shared" si="26"/>
        <v>533.33333333333326</v>
      </c>
      <c r="O51" s="427">
        <f t="shared" si="26"/>
        <v>533.33333333333326</v>
      </c>
      <c r="P51" s="427">
        <f t="shared" si="26"/>
        <v>533.33333333333326</v>
      </c>
      <c r="Q51" s="427">
        <f t="shared" si="26"/>
        <v>533.33333333333326</v>
      </c>
      <c r="R51" s="427">
        <f t="shared" si="26"/>
        <v>533.33333333333326</v>
      </c>
      <c r="S51" s="427">
        <f t="shared" si="26"/>
        <v>533.33333333333326</v>
      </c>
    </row>
    <row r="52" spans="2:19" ht="12.95" customHeight="1" x14ac:dyDescent="0.15">
      <c r="B52" s="563"/>
      <c r="C52" s="169" t="s">
        <v>319</v>
      </c>
      <c r="D52" s="170"/>
      <c r="E52" s="428" t="str">
        <f t="shared" ref="E52:S52" si="27">IF(E51&gt;E50,"OK","NG")</f>
        <v>OK</v>
      </c>
      <c r="F52" s="429" t="str">
        <f t="shared" si="27"/>
        <v>OK</v>
      </c>
      <c r="G52" s="429" t="str">
        <f t="shared" si="27"/>
        <v>OK</v>
      </c>
      <c r="H52" s="429" t="str">
        <f t="shared" si="27"/>
        <v>OK</v>
      </c>
      <c r="I52" s="429" t="str">
        <f t="shared" si="27"/>
        <v>OK</v>
      </c>
      <c r="J52" s="429" t="str">
        <f t="shared" si="27"/>
        <v>OK</v>
      </c>
      <c r="K52" s="429" t="str">
        <f t="shared" si="27"/>
        <v>OK</v>
      </c>
      <c r="L52" s="429" t="str">
        <f t="shared" si="27"/>
        <v>OK</v>
      </c>
      <c r="M52" s="429" t="str">
        <f t="shared" si="27"/>
        <v>OK</v>
      </c>
      <c r="N52" s="429" t="str">
        <f t="shared" si="27"/>
        <v>OK</v>
      </c>
      <c r="O52" s="429" t="str">
        <f t="shared" si="27"/>
        <v>OK</v>
      </c>
      <c r="P52" s="429" t="str">
        <f t="shared" si="27"/>
        <v>OK</v>
      </c>
      <c r="Q52" s="429" t="str">
        <f t="shared" si="27"/>
        <v>OK</v>
      </c>
      <c r="R52" s="429" t="str">
        <f t="shared" si="27"/>
        <v>OK</v>
      </c>
      <c r="S52" s="429" t="str">
        <f t="shared" si="27"/>
        <v>OK</v>
      </c>
    </row>
    <row r="53" spans="2:19" ht="12.95" customHeight="1" x14ac:dyDescent="0.15">
      <c r="B53" s="563"/>
      <c r="C53" s="169" t="s">
        <v>320</v>
      </c>
      <c r="D53" s="170" t="s">
        <v>31</v>
      </c>
      <c r="E53" s="426">
        <f t="shared" ref="E53:S53" si="28">(E49/E56)-E48/(2*E39/E27)</f>
        <v>75.147871580933938</v>
      </c>
      <c r="F53" s="427">
        <f t="shared" si="28"/>
        <v>222.80527993112304</v>
      </c>
      <c r="G53" s="427">
        <f t="shared" si="28"/>
        <v>119.54555285310131</v>
      </c>
      <c r="H53" s="427">
        <f t="shared" si="28"/>
        <v>186.77260081511793</v>
      </c>
      <c r="I53" s="427">
        <f t="shared" si="28"/>
        <v>230.40615601388635</v>
      </c>
      <c r="J53" s="427">
        <f t="shared" si="28"/>
        <v>215.80246243507969</v>
      </c>
      <c r="K53" s="427">
        <f t="shared" si="28"/>
        <v>168.2469654392213</v>
      </c>
      <c r="L53" s="427">
        <f t="shared" si="28"/>
        <v>213.72671797785574</v>
      </c>
      <c r="M53" s="427">
        <f t="shared" si="28"/>
        <v>195.68527762826409</v>
      </c>
      <c r="N53" s="427">
        <f t="shared" si="28"/>
        <v>171.49372627829598</v>
      </c>
      <c r="O53" s="427">
        <f t="shared" si="28"/>
        <v>225.56784574389269</v>
      </c>
      <c r="P53" s="427">
        <f t="shared" si="28"/>
        <v>232.35457651663677</v>
      </c>
      <c r="Q53" s="427">
        <f t="shared" si="28"/>
        <v>60.212590068442736</v>
      </c>
      <c r="R53" s="427">
        <f t="shared" si="28"/>
        <v>193.83908028839812</v>
      </c>
      <c r="S53" s="427">
        <f t="shared" si="28"/>
        <v>108.53203079114219</v>
      </c>
    </row>
    <row r="54" spans="2:19" ht="12.95" customHeight="1" x14ac:dyDescent="0.15">
      <c r="B54" s="563"/>
      <c r="C54" s="169" t="s">
        <v>322</v>
      </c>
      <c r="D54" s="170" t="s">
        <v>31</v>
      </c>
      <c r="E54" s="426">
        <f t="shared" ref="E54:S54" si="29">-0.2*E51</f>
        <v>-106.66666666666666</v>
      </c>
      <c r="F54" s="427">
        <f t="shared" si="29"/>
        <v>-106.66666666666666</v>
      </c>
      <c r="G54" s="427">
        <f t="shared" si="29"/>
        <v>-106.66666666666666</v>
      </c>
      <c r="H54" s="427">
        <f t="shared" si="29"/>
        <v>-106.66666666666666</v>
      </c>
      <c r="I54" s="427">
        <f t="shared" si="29"/>
        <v>-106.66666666666666</v>
      </c>
      <c r="J54" s="427">
        <f t="shared" si="29"/>
        <v>-106.66666666666666</v>
      </c>
      <c r="K54" s="427">
        <f t="shared" si="29"/>
        <v>-106.66666666666666</v>
      </c>
      <c r="L54" s="427">
        <f t="shared" si="29"/>
        <v>-106.66666666666666</v>
      </c>
      <c r="M54" s="427">
        <f t="shared" si="29"/>
        <v>-106.66666666666666</v>
      </c>
      <c r="N54" s="427">
        <f t="shared" si="29"/>
        <v>-106.66666666666666</v>
      </c>
      <c r="O54" s="427">
        <f t="shared" si="29"/>
        <v>-106.66666666666666</v>
      </c>
      <c r="P54" s="427">
        <f t="shared" si="29"/>
        <v>-106.66666666666666</v>
      </c>
      <c r="Q54" s="427">
        <f t="shared" si="29"/>
        <v>-106.66666666666666</v>
      </c>
      <c r="R54" s="427">
        <f t="shared" si="29"/>
        <v>-106.66666666666666</v>
      </c>
      <c r="S54" s="427">
        <f t="shared" si="29"/>
        <v>-106.66666666666666</v>
      </c>
    </row>
    <row r="55" spans="2:19" ht="12.95" customHeight="1" x14ac:dyDescent="0.15">
      <c r="B55" s="564"/>
      <c r="C55" s="171" t="s">
        <v>324</v>
      </c>
      <c r="D55" s="172"/>
      <c r="E55" s="430" t="str">
        <f t="shared" ref="E55:S55" si="30">IF(E53&gt;E54,"OK","NG")</f>
        <v>OK</v>
      </c>
      <c r="F55" s="431" t="str">
        <f t="shared" si="30"/>
        <v>OK</v>
      </c>
      <c r="G55" s="431" t="str">
        <f t="shared" si="30"/>
        <v>OK</v>
      </c>
      <c r="H55" s="431" t="str">
        <f t="shared" si="30"/>
        <v>OK</v>
      </c>
      <c r="I55" s="431" t="str">
        <f t="shared" si="30"/>
        <v>OK</v>
      </c>
      <c r="J55" s="431" t="str">
        <f t="shared" si="30"/>
        <v>OK</v>
      </c>
      <c r="K55" s="431" t="str">
        <f t="shared" si="30"/>
        <v>OK</v>
      </c>
      <c r="L55" s="431" t="str">
        <f t="shared" si="30"/>
        <v>OK</v>
      </c>
      <c r="M55" s="431" t="str">
        <f t="shared" si="30"/>
        <v>OK</v>
      </c>
      <c r="N55" s="431" t="str">
        <f t="shared" si="30"/>
        <v>OK</v>
      </c>
      <c r="O55" s="431" t="str">
        <f t="shared" si="30"/>
        <v>OK</v>
      </c>
      <c r="P55" s="431" t="str">
        <f t="shared" si="30"/>
        <v>OK</v>
      </c>
      <c r="Q55" s="431" t="str">
        <f t="shared" si="30"/>
        <v>OK</v>
      </c>
      <c r="R55" s="431" t="str">
        <f t="shared" si="30"/>
        <v>OK</v>
      </c>
      <c r="S55" s="431" t="str">
        <f t="shared" si="30"/>
        <v>OK</v>
      </c>
    </row>
    <row r="56" spans="2:19" ht="12.95" customHeight="1" x14ac:dyDescent="0.15">
      <c r="B56" s="574" t="s">
        <v>326</v>
      </c>
      <c r="C56" s="168" t="s">
        <v>65</v>
      </c>
      <c r="D56" s="240" t="s">
        <v>66</v>
      </c>
      <c r="E56" s="432">
        <f t="shared" ref="E56:S56" si="31">(E26/2)^2*PI()</f>
        <v>0.78539816339744828</v>
      </c>
      <c r="F56" s="433">
        <f t="shared" si="31"/>
        <v>0.78539816339744828</v>
      </c>
      <c r="G56" s="433">
        <f t="shared" si="31"/>
        <v>0.78539816339744828</v>
      </c>
      <c r="H56" s="433">
        <f t="shared" si="31"/>
        <v>0.78539816339744828</v>
      </c>
      <c r="I56" s="433">
        <f t="shared" si="31"/>
        <v>0.78539816339744828</v>
      </c>
      <c r="J56" s="433">
        <f t="shared" si="31"/>
        <v>0.78539816339744828</v>
      </c>
      <c r="K56" s="433">
        <f t="shared" si="31"/>
        <v>0.78539816339744828</v>
      </c>
      <c r="L56" s="433">
        <f t="shared" si="31"/>
        <v>0.78539816339744828</v>
      </c>
      <c r="M56" s="433">
        <f t="shared" si="31"/>
        <v>0.78539816339744828</v>
      </c>
      <c r="N56" s="433">
        <f t="shared" si="31"/>
        <v>0.78539816339744828</v>
      </c>
      <c r="O56" s="433">
        <f t="shared" si="31"/>
        <v>0.78539816339744828</v>
      </c>
      <c r="P56" s="433">
        <f t="shared" si="31"/>
        <v>0.78539816339744828</v>
      </c>
      <c r="Q56" s="433">
        <f t="shared" si="31"/>
        <v>0.78539816339744828</v>
      </c>
      <c r="R56" s="433">
        <f t="shared" si="31"/>
        <v>0.78539816339744828</v>
      </c>
      <c r="S56" s="433">
        <f t="shared" si="31"/>
        <v>0.78539816339744828</v>
      </c>
    </row>
    <row r="57" spans="2:19" ht="12.95" customHeight="1" x14ac:dyDescent="0.15">
      <c r="B57" s="563"/>
      <c r="C57" s="169" t="s">
        <v>329</v>
      </c>
      <c r="D57" s="170" t="s">
        <v>31</v>
      </c>
      <c r="E57" s="426">
        <f t="shared" ref="E57:S57" si="32">E20/E56</f>
        <v>17.232339872186589</v>
      </c>
      <c r="F57" s="427">
        <f t="shared" si="32"/>
        <v>17.232339872186589</v>
      </c>
      <c r="G57" s="427">
        <f t="shared" si="32"/>
        <v>17.232339872186589</v>
      </c>
      <c r="H57" s="427">
        <f t="shared" si="32"/>
        <v>17.232339872186589</v>
      </c>
      <c r="I57" s="427">
        <f t="shared" si="32"/>
        <v>11.488226581457727</v>
      </c>
      <c r="J57" s="427">
        <f t="shared" si="32"/>
        <v>17.232339872186589</v>
      </c>
      <c r="K57" s="427">
        <f t="shared" si="32"/>
        <v>17.232339872186589</v>
      </c>
      <c r="L57" s="427">
        <f t="shared" si="32"/>
        <v>11.488226581457727</v>
      </c>
      <c r="M57" s="427">
        <f t="shared" si="32"/>
        <v>17.232339872186589</v>
      </c>
      <c r="N57" s="427">
        <f t="shared" si="32"/>
        <v>17.232339872186589</v>
      </c>
      <c r="O57" s="427">
        <f t="shared" si="32"/>
        <v>11.488226581457727</v>
      </c>
      <c r="P57" s="427">
        <f t="shared" si="32"/>
        <v>17.232339872186589</v>
      </c>
      <c r="Q57" s="427">
        <f t="shared" si="32"/>
        <v>17.232339872186589</v>
      </c>
      <c r="R57" s="427">
        <f t="shared" si="32"/>
        <v>17.232339872186589</v>
      </c>
      <c r="S57" s="427">
        <f t="shared" si="32"/>
        <v>17.232339872186589</v>
      </c>
    </row>
    <row r="58" spans="2:19" ht="12.95" customHeight="1" x14ac:dyDescent="0.15">
      <c r="B58" s="563"/>
      <c r="C58" s="169" t="s">
        <v>331</v>
      </c>
      <c r="D58" s="170" t="s">
        <v>31</v>
      </c>
      <c r="E58" s="426">
        <f t="shared" ref="E58:S58" si="33">MIN((0.3*E37+E57*TAN(30*PI()/180)),0.5*E37)</f>
        <v>249.94909606397405</v>
      </c>
      <c r="F58" s="427">
        <f t="shared" si="33"/>
        <v>249.94909606397405</v>
      </c>
      <c r="G58" s="427">
        <f t="shared" si="33"/>
        <v>249.94909606397405</v>
      </c>
      <c r="H58" s="427">
        <f t="shared" si="33"/>
        <v>249.94909606397405</v>
      </c>
      <c r="I58" s="427">
        <f t="shared" si="33"/>
        <v>246.63273070931604</v>
      </c>
      <c r="J58" s="427">
        <f t="shared" si="33"/>
        <v>249.94909606397405</v>
      </c>
      <c r="K58" s="427">
        <f t="shared" si="33"/>
        <v>249.94909606397405</v>
      </c>
      <c r="L58" s="427">
        <f t="shared" si="33"/>
        <v>246.63273070931604</v>
      </c>
      <c r="M58" s="427">
        <f t="shared" si="33"/>
        <v>249.94909606397405</v>
      </c>
      <c r="N58" s="427">
        <f t="shared" si="33"/>
        <v>249.94909606397405</v>
      </c>
      <c r="O58" s="427">
        <f t="shared" si="33"/>
        <v>246.63273070931604</v>
      </c>
      <c r="P58" s="427">
        <f t="shared" si="33"/>
        <v>249.94909606397405</v>
      </c>
      <c r="Q58" s="427">
        <f t="shared" si="33"/>
        <v>249.94909606397405</v>
      </c>
      <c r="R58" s="427">
        <f t="shared" si="33"/>
        <v>249.94909606397405</v>
      </c>
      <c r="S58" s="427">
        <f t="shared" si="33"/>
        <v>249.94909606397405</v>
      </c>
    </row>
    <row r="59" spans="2:19" ht="12.95" customHeight="1" x14ac:dyDescent="0.15">
      <c r="B59" s="563"/>
      <c r="C59" s="169" t="s">
        <v>333</v>
      </c>
      <c r="D59" s="170" t="s">
        <v>31</v>
      </c>
      <c r="E59" s="426">
        <f t="shared" ref="E59:S59" si="34">2/3*E58</f>
        <v>166.63273070931604</v>
      </c>
      <c r="F59" s="427">
        <f t="shared" si="34"/>
        <v>166.63273070931604</v>
      </c>
      <c r="G59" s="427">
        <f t="shared" si="34"/>
        <v>166.63273070931604</v>
      </c>
      <c r="H59" s="427">
        <f t="shared" si="34"/>
        <v>166.63273070931604</v>
      </c>
      <c r="I59" s="427">
        <f t="shared" si="34"/>
        <v>164.42182047287736</v>
      </c>
      <c r="J59" s="427">
        <f t="shared" si="34"/>
        <v>166.63273070931604</v>
      </c>
      <c r="K59" s="427">
        <f t="shared" si="34"/>
        <v>166.63273070931604</v>
      </c>
      <c r="L59" s="427">
        <f t="shared" si="34"/>
        <v>164.42182047287736</v>
      </c>
      <c r="M59" s="427">
        <f t="shared" si="34"/>
        <v>166.63273070931604</v>
      </c>
      <c r="N59" s="427">
        <f t="shared" si="34"/>
        <v>166.63273070931604</v>
      </c>
      <c r="O59" s="427">
        <f t="shared" si="34"/>
        <v>164.42182047287736</v>
      </c>
      <c r="P59" s="427">
        <f t="shared" si="34"/>
        <v>166.63273070931604</v>
      </c>
      <c r="Q59" s="427">
        <f t="shared" si="34"/>
        <v>166.63273070931604</v>
      </c>
      <c r="R59" s="427">
        <f t="shared" si="34"/>
        <v>166.63273070931604</v>
      </c>
      <c r="S59" s="427">
        <f t="shared" si="34"/>
        <v>166.63273070931604</v>
      </c>
    </row>
    <row r="60" spans="2:19" ht="12.95" customHeight="1" x14ac:dyDescent="0.15">
      <c r="B60" s="563"/>
      <c r="C60" s="169" t="s">
        <v>334</v>
      </c>
      <c r="D60" s="170" t="s">
        <v>31</v>
      </c>
      <c r="E60" s="426">
        <f t="shared" ref="E60:S60" si="35">4/3*(E20/E56)</f>
        <v>22.976453162915451</v>
      </c>
      <c r="F60" s="427">
        <f t="shared" si="35"/>
        <v>22.976453162915451</v>
      </c>
      <c r="G60" s="427">
        <f t="shared" si="35"/>
        <v>22.976453162915451</v>
      </c>
      <c r="H60" s="427">
        <f t="shared" si="35"/>
        <v>22.976453162915451</v>
      </c>
      <c r="I60" s="427">
        <f t="shared" si="35"/>
        <v>15.317635441943636</v>
      </c>
      <c r="J60" s="427">
        <f t="shared" si="35"/>
        <v>22.976453162915451</v>
      </c>
      <c r="K60" s="427">
        <f t="shared" si="35"/>
        <v>22.976453162915451</v>
      </c>
      <c r="L60" s="427">
        <f t="shared" si="35"/>
        <v>15.317635441943636</v>
      </c>
      <c r="M60" s="427">
        <f t="shared" si="35"/>
        <v>22.976453162915451</v>
      </c>
      <c r="N60" s="427">
        <f t="shared" si="35"/>
        <v>22.976453162915451</v>
      </c>
      <c r="O60" s="427">
        <f t="shared" si="35"/>
        <v>15.317635441943636</v>
      </c>
      <c r="P60" s="427">
        <f t="shared" si="35"/>
        <v>22.976453162915451</v>
      </c>
      <c r="Q60" s="427">
        <f t="shared" si="35"/>
        <v>22.976453162915451</v>
      </c>
      <c r="R60" s="427">
        <f t="shared" si="35"/>
        <v>22.976453162915451</v>
      </c>
      <c r="S60" s="427">
        <f t="shared" si="35"/>
        <v>22.976453162915451</v>
      </c>
    </row>
    <row r="61" spans="2:19" ht="12.95" customHeight="1" x14ac:dyDescent="0.15">
      <c r="B61" s="564"/>
      <c r="C61" s="171" t="s">
        <v>336</v>
      </c>
      <c r="D61" s="172"/>
      <c r="E61" s="430" t="str">
        <f t="shared" ref="E61:S61" si="36">IF(E59&gt;E60,"OK","NG")</f>
        <v>OK</v>
      </c>
      <c r="F61" s="431" t="str">
        <f t="shared" si="36"/>
        <v>OK</v>
      </c>
      <c r="G61" s="431" t="str">
        <f t="shared" si="36"/>
        <v>OK</v>
      </c>
      <c r="H61" s="431" t="str">
        <f t="shared" si="36"/>
        <v>OK</v>
      </c>
      <c r="I61" s="431" t="str">
        <f t="shared" si="36"/>
        <v>OK</v>
      </c>
      <c r="J61" s="431" t="str">
        <f t="shared" si="36"/>
        <v>OK</v>
      </c>
      <c r="K61" s="431" t="str">
        <f t="shared" si="36"/>
        <v>OK</v>
      </c>
      <c r="L61" s="431" t="str">
        <f t="shared" si="36"/>
        <v>OK</v>
      </c>
      <c r="M61" s="431" t="str">
        <f t="shared" si="36"/>
        <v>OK</v>
      </c>
      <c r="N61" s="431" t="str">
        <f t="shared" si="36"/>
        <v>OK</v>
      </c>
      <c r="O61" s="431" t="str">
        <f t="shared" si="36"/>
        <v>OK</v>
      </c>
      <c r="P61" s="431" t="str">
        <f t="shared" si="36"/>
        <v>OK</v>
      </c>
      <c r="Q61" s="431" t="str">
        <f t="shared" si="36"/>
        <v>OK</v>
      </c>
      <c r="R61" s="431" t="str">
        <f t="shared" si="36"/>
        <v>OK</v>
      </c>
      <c r="S61" s="431" t="str">
        <f t="shared" si="36"/>
        <v>OK</v>
      </c>
    </row>
    <row r="62" spans="2:19" ht="12" customHeight="1" x14ac:dyDescent="0.15"/>
    <row r="63" spans="2:19" ht="12" customHeight="1" x14ac:dyDescent="0.15"/>
    <row r="64" spans="2:19"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S52">
    <cfRule type="cellIs" dxfId="11" priority="1" stopIfTrue="1" operator="equal">
      <formula>"NG"</formula>
    </cfRule>
  </conditionalFormatting>
  <conditionalFormatting sqref="E55:S55 E61:S61">
    <cfRule type="cellIs" dxfId="10" priority="2" stopIfTrue="1" operator="equal">
      <formula>"NG"</formula>
    </cfRule>
  </conditionalFormatting>
  <pageMargins left="0.7" right="0.7" top="0.75" bottom="0.75" header="0.3" footer="0.3"/>
  <pageSetup paperSize="9" fitToWidth="2" orientation="portrait" blackAndWhite="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65"/>
  <sheetViews>
    <sheetView topLeftCell="A6" zoomScale="85" zoomScaleNormal="85" zoomScaleSheetLayoutView="100" workbookViewId="0">
      <selection activeCell="G18" sqref="G18"/>
    </sheetView>
  </sheetViews>
  <sheetFormatPr defaultRowHeight="14.25" x14ac:dyDescent="0.15"/>
  <cols>
    <col min="1" max="1" width="4.625" style="173" customWidth="1"/>
    <col min="2" max="19" width="9.625" style="173" customWidth="1"/>
    <col min="20" max="33" width="9" style="173" customWidth="1"/>
    <col min="34" max="16384" width="9" style="173"/>
  </cols>
  <sheetData>
    <row r="1" spans="2:19" ht="12.95" customHeight="1" x14ac:dyDescent="0.15">
      <c r="B1" s="173" t="s">
        <v>233</v>
      </c>
    </row>
    <row r="2" spans="2:19" ht="12.95" customHeight="1" x14ac:dyDescent="0.15"/>
    <row r="3" spans="2:19" ht="12.95" customHeight="1" x14ac:dyDescent="0.15">
      <c r="C3" s="160" t="s">
        <v>359</v>
      </c>
      <c r="D3" s="396">
        <f>+'L+Ex'!D3</f>
        <v>481.9</v>
      </c>
      <c r="E3" s="173" t="s">
        <v>360</v>
      </c>
      <c r="G3" s="160" t="s">
        <v>361</v>
      </c>
      <c r="H3" s="397">
        <v>0.1</v>
      </c>
      <c r="I3" s="398"/>
    </row>
    <row r="4" spans="2:19" ht="12.95" customHeight="1" x14ac:dyDescent="0.15">
      <c r="C4" s="160" t="s">
        <v>362</v>
      </c>
      <c r="D4" s="396">
        <f>+H6</f>
        <v>247.52000000000004</v>
      </c>
      <c r="E4" s="173" t="s">
        <v>358</v>
      </c>
      <c r="G4" s="160" t="s">
        <v>363</v>
      </c>
      <c r="H4" s="397">
        <v>0.8</v>
      </c>
      <c r="I4" s="161"/>
    </row>
    <row r="5" spans="2:19" ht="12.95" customHeight="1" x14ac:dyDescent="0.15">
      <c r="C5" s="160" t="s">
        <v>364</v>
      </c>
      <c r="D5" s="399">
        <f>SUM(D3:D4)</f>
        <v>729.42000000000007</v>
      </c>
      <c r="E5" s="173" t="s">
        <v>358</v>
      </c>
      <c r="G5" s="160" t="s">
        <v>365</v>
      </c>
      <c r="H5" s="397">
        <f>+'L+Ex'!H5</f>
        <v>3094</v>
      </c>
      <c r="I5" s="161" t="s">
        <v>358</v>
      </c>
    </row>
    <row r="6" spans="2:19" ht="12.95" customHeight="1" x14ac:dyDescent="0.15">
      <c r="G6" s="160" t="s">
        <v>366</v>
      </c>
      <c r="H6" s="400">
        <f>H3*H4*H5</f>
        <v>247.52000000000004</v>
      </c>
      <c r="I6" s="162" t="s">
        <v>358</v>
      </c>
    </row>
    <row r="7" spans="2:19" ht="12.95" customHeight="1" x14ac:dyDescent="0.15"/>
    <row r="8" spans="2:19" s="230" customFormat="1" ht="12.95" customHeight="1" x14ac:dyDescent="0.15">
      <c r="B8" s="575" t="s">
        <v>5</v>
      </c>
      <c r="C8" s="552"/>
      <c r="D8" s="227"/>
      <c r="E8" s="227" t="s">
        <v>7</v>
      </c>
      <c r="F8" s="228" t="s">
        <v>7</v>
      </c>
      <c r="G8" s="228" t="s">
        <v>7</v>
      </c>
      <c r="H8" s="228" t="s">
        <v>7</v>
      </c>
      <c r="I8" s="228" t="s">
        <v>8</v>
      </c>
      <c r="J8" s="164" t="s">
        <v>7</v>
      </c>
      <c r="K8" s="229" t="s">
        <v>7</v>
      </c>
      <c r="L8" s="229" t="s">
        <v>8</v>
      </c>
      <c r="M8" s="229" t="s">
        <v>7</v>
      </c>
      <c r="N8" s="229" t="s">
        <v>7</v>
      </c>
      <c r="O8" s="229" t="s">
        <v>8</v>
      </c>
      <c r="P8" s="229" t="s">
        <v>7</v>
      </c>
      <c r="Q8" s="229" t="s">
        <v>7</v>
      </c>
      <c r="R8" s="229" t="s">
        <v>7</v>
      </c>
      <c r="S8" s="181" t="s">
        <v>7</v>
      </c>
    </row>
    <row r="9" spans="2:19" s="230" customFormat="1" ht="12.95" customHeight="1" x14ac:dyDescent="0.15">
      <c r="B9" s="576" t="s">
        <v>367</v>
      </c>
      <c r="C9" s="577"/>
      <c r="D9" s="182"/>
      <c r="E9" s="182" t="s">
        <v>349</v>
      </c>
      <c r="F9" s="183" t="s">
        <v>350</v>
      </c>
      <c r="G9" s="183" t="s">
        <v>351</v>
      </c>
      <c r="H9" s="183" t="s">
        <v>349</v>
      </c>
      <c r="I9" s="183" t="s">
        <v>350</v>
      </c>
      <c r="J9" s="184" t="s">
        <v>351</v>
      </c>
      <c r="K9" s="185" t="s">
        <v>349</v>
      </c>
      <c r="L9" s="185" t="s">
        <v>350</v>
      </c>
      <c r="M9" s="185" t="s">
        <v>351</v>
      </c>
      <c r="N9" s="185" t="s">
        <v>349</v>
      </c>
      <c r="O9" s="185" t="s">
        <v>350</v>
      </c>
      <c r="P9" s="185" t="s">
        <v>351</v>
      </c>
      <c r="Q9" s="185" t="s">
        <v>349</v>
      </c>
      <c r="R9" s="185" t="s">
        <v>350</v>
      </c>
      <c r="S9" s="186" t="s">
        <v>351</v>
      </c>
    </row>
    <row r="10" spans="2:19" s="230" customFormat="1" ht="12.95" customHeight="1" x14ac:dyDescent="0.15">
      <c r="B10" s="578" t="s">
        <v>368</v>
      </c>
      <c r="C10" s="555"/>
      <c r="D10" s="187"/>
      <c r="E10" s="233" t="s">
        <v>352</v>
      </c>
      <c r="F10" s="234" t="s">
        <v>352</v>
      </c>
      <c r="G10" s="234" t="s">
        <v>352</v>
      </c>
      <c r="H10" s="234" t="s">
        <v>353</v>
      </c>
      <c r="I10" s="234" t="s">
        <v>353</v>
      </c>
      <c r="J10" s="167" t="s">
        <v>353</v>
      </c>
      <c r="K10" s="235" t="s">
        <v>354</v>
      </c>
      <c r="L10" s="235" t="s">
        <v>354</v>
      </c>
      <c r="M10" s="235" t="s">
        <v>354</v>
      </c>
      <c r="N10" s="235" t="s">
        <v>355</v>
      </c>
      <c r="O10" s="235" t="s">
        <v>355</v>
      </c>
      <c r="P10" s="235" t="s">
        <v>355</v>
      </c>
      <c r="Q10" s="235" t="s">
        <v>356</v>
      </c>
      <c r="R10" s="235" t="s">
        <v>356</v>
      </c>
      <c r="S10" s="188" t="s">
        <v>356</v>
      </c>
    </row>
    <row r="11" spans="2:19" s="230" customFormat="1" ht="12.95" customHeight="1" x14ac:dyDescent="0.15">
      <c r="B11" s="579" t="s">
        <v>238</v>
      </c>
      <c r="C11" s="179" t="s">
        <v>50</v>
      </c>
      <c r="D11" s="180" t="s">
        <v>20</v>
      </c>
      <c r="E11" s="434">
        <v>309.39999999999998</v>
      </c>
      <c r="F11" s="435">
        <v>472.6</v>
      </c>
      <c r="G11" s="435">
        <v>241.5</v>
      </c>
      <c r="H11" s="435">
        <v>487.3</v>
      </c>
      <c r="I11" s="435">
        <v>665.5</v>
      </c>
      <c r="J11" s="436">
        <v>390.3</v>
      </c>
      <c r="K11" s="230">
        <v>456.5</v>
      </c>
      <c r="L11" s="230">
        <v>626.20000000000005</v>
      </c>
      <c r="M11" s="230">
        <v>360.4</v>
      </c>
      <c r="N11" s="230">
        <v>459.4</v>
      </c>
      <c r="O11" s="230">
        <v>654.1</v>
      </c>
      <c r="P11" s="230">
        <v>420.2</v>
      </c>
      <c r="Q11" s="230">
        <v>287.39999999999998</v>
      </c>
      <c r="R11" s="230">
        <v>427.1</v>
      </c>
      <c r="S11" s="437">
        <v>223</v>
      </c>
    </row>
    <row r="12" spans="2:19" s="230" customFormat="1" ht="12.95" customHeight="1" x14ac:dyDescent="0.15">
      <c r="B12" s="549"/>
      <c r="C12" s="169" t="s">
        <v>250</v>
      </c>
      <c r="D12" s="170" t="s">
        <v>20</v>
      </c>
      <c r="E12" s="343">
        <f>SUM(E11:S11)</f>
        <v>6480.9000000000005</v>
      </c>
      <c r="F12" s="346">
        <f>SUM(E13:S13)</f>
        <v>0.99999999999999978</v>
      </c>
      <c r="G12" s="346"/>
      <c r="H12" s="346"/>
      <c r="I12" s="346"/>
      <c r="J12" s="346"/>
      <c r="K12" s="346"/>
      <c r="L12" s="346"/>
      <c r="M12" s="346"/>
      <c r="N12" s="346"/>
      <c r="O12" s="346"/>
      <c r="P12" s="346"/>
      <c r="Q12" s="346"/>
      <c r="R12" s="346"/>
      <c r="S12" s="189"/>
    </row>
    <row r="13" spans="2:19" s="230" customFormat="1" ht="12.95" customHeight="1" x14ac:dyDescent="0.15">
      <c r="B13" s="549"/>
      <c r="C13" s="169" t="s">
        <v>369</v>
      </c>
      <c r="D13" s="170" t="s">
        <v>20</v>
      </c>
      <c r="E13" s="350">
        <f>IF(E11="","",E11/E12)</f>
        <v>4.7740282985387822E-2</v>
      </c>
      <c r="F13" s="352">
        <f t="shared" ref="F13:S13" si="0">IF(F11="","",F11/$E12)</f>
        <v>7.2921970713944045E-2</v>
      </c>
      <c r="G13" s="352">
        <f t="shared" si="0"/>
        <v>3.7263343054205429E-2</v>
      </c>
      <c r="H13" s="352">
        <f t="shared" si="0"/>
        <v>7.519017420420003E-2</v>
      </c>
      <c r="I13" s="352">
        <f t="shared" si="0"/>
        <v>0.10268635529016031</v>
      </c>
      <c r="J13" s="352">
        <f t="shared" si="0"/>
        <v>6.0223117159653748E-2</v>
      </c>
      <c r="K13" s="352">
        <f t="shared" si="0"/>
        <v>7.0437747843663689E-2</v>
      </c>
      <c r="L13" s="352">
        <f t="shared" si="0"/>
        <v>9.6622382693761666E-2</v>
      </c>
      <c r="M13" s="352">
        <f t="shared" si="0"/>
        <v>5.5609560400561642E-2</v>
      </c>
      <c r="N13" s="352">
        <f t="shared" si="0"/>
        <v>7.0885216559428463E-2</v>
      </c>
      <c r="O13" s="352">
        <f t="shared" si="0"/>
        <v>0.10092734033853322</v>
      </c>
      <c r="P13" s="352">
        <f t="shared" si="0"/>
        <v>6.4836673918745841E-2</v>
      </c>
      <c r="Q13" s="352">
        <f t="shared" si="0"/>
        <v>4.4345692727861867E-2</v>
      </c>
      <c r="R13" s="352">
        <f t="shared" si="0"/>
        <v>6.5901340863151719E-2</v>
      </c>
      <c r="S13" s="438">
        <f t="shared" si="0"/>
        <v>3.4408801246740416E-2</v>
      </c>
    </row>
    <row r="14" spans="2:19" s="230" customFormat="1" ht="12.95" customHeight="1" x14ac:dyDescent="0.15">
      <c r="B14" s="549"/>
      <c r="C14" s="169" t="s">
        <v>370</v>
      </c>
      <c r="D14" s="170" t="s">
        <v>126</v>
      </c>
      <c r="E14" s="353">
        <f>+D5</f>
        <v>729.42000000000007</v>
      </c>
      <c r="F14" s="354"/>
      <c r="G14" s="354"/>
      <c r="H14" s="354"/>
      <c r="I14" s="354"/>
      <c r="J14" s="404"/>
      <c r="S14" s="189"/>
    </row>
    <row r="15" spans="2:19" s="230" customFormat="1" ht="12.95" customHeight="1" x14ac:dyDescent="0.15">
      <c r="B15" s="549"/>
      <c r="C15" s="169" t="s">
        <v>371</v>
      </c>
      <c r="D15" s="170" t="s">
        <v>126</v>
      </c>
      <c r="E15" s="353">
        <f t="shared" ref="E15:S15" si="1">IF(E13="","",E13*$E14)</f>
        <v>34.822717215201585</v>
      </c>
      <c r="F15" s="355">
        <f t="shared" si="1"/>
        <v>53.190743878165073</v>
      </c>
      <c r="G15" s="355">
        <f t="shared" si="1"/>
        <v>27.180627690598527</v>
      </c>
      <c r="H15" s="355">
        <f t="shared" si="1"/>
        <v>54.845216868027592</v>
      </c>
      <c r="I15" s="355">
        <f t="shared" si="1"/>
        <v>74.901481275748736</v>
      </c>
      <c r="J15" s="355">
        <f t="shared" si="1"/>
        <v>43.92794611859464</v>
      </c>
      <c r="K15" s="355">
        <f t="shared" si="1"/>
        <v>51.378702032125176</v>
      </c>
      <c r="L15" s="355">
        <f t="shared" si="1"/>
        <v>70.478298384483637</v>
      </c>
      <c r="M15" s="355">
        <f t="shared" si="1"/>
        <v>40.562725547377674</v>
      </c>
      <c r="N15" s="355">
        <f t="shared" si="1"/>
        <v>51.705094662778315</v>
      </c>
      <c r="O15" s="355">
        <f t="shared" si="1"/>
        <v>73.618420589732906</v>
      </c>
      <c r="P15" s="355">
        <f t="shared" si="1"/>
        <v>47.293166689811599</v>
      </c>
      <c r="Q15" s="355">
        <f t="shared" si="1"/>
        <v>32.346635189557006</v>
      </c>
      <c r="R15" s="355">
        <f t="shared" si="1"/>
        <v>48.06975605240013</v>
      </c>
      <c r="S15" s="439">
        <f t="shared" si="1"/>
        <v>25.098467805397398</v>
      </c>
    </row>
    <row r="16" spans="2:19" s="230" customFormat="1" ht="12.95" customHeight="1" x14ac:dyDescent="0.15">
      <c r="B16" s="549"/>
      <c r="C16" s="169"/>
      <c r="D16" s="170"/>
      <c r="E16" s="353"/>
      <c r="F16" s="354"/>
      <c r="G16" s="354"/>
      <c r="H16" s="354"/>
      <c r="I16" s="354"/>
      <c r="J16" s="404"/>
      <c r="S16" s="189"/>
    </row>
    <row r="17" spans="2:19" s="230" customFormat="1" ht="12.95" customHeight="1" x14ac:dyDescent="0.15">
      <c r="B17" s="549"/>
      <c r="C17" s="169"/>
      <c r="D17" s="170"/>
      <c r="E17" s="353"/>
      <c r="F17" s="354"/>
      <c r="G17" s="354"/>
      <c r="H17" s="354"/>
      <c r="I17" s="354"/>
      <c r="J17" s="404"/>
      <c r="S17" s="189"/>
    </row>
    <row r="18" spans="2:19" s="230" customFormat="1" ht="12.95" customHeight="1" x14ac:dyDescent="0.15">
      <c r="B18" s="549"/>
      <c r="C18" s="230" t="s">
        <v>70</v>
      </c>
      <c r="D18" s="170" t="s">
        <v>372</v>
      </c>
      <c r="E18" s="231">
        <v>2</v>
      </c>
      <c r="F18" s="230">
        <v>2</v>
      </c>
      <c r="G18" s="230">
        <v>2</v>
      </c>
      <c r="H18" s="230">
        <v>2</v>
      </c>
      <c r="I18" s="230">
        <v>3</v>
      </c>
      <c r="J18" s="230">
        <v>2</v>
      </c>
      <c r="K18" s="230">
        <v>2</v>
      </c>
      <c r="L18" s="230">
        <v>3</v>
      </c>
      <c r="M18" s="230">
        <v>2</v>
      </c>
      <c r="N18" s="230">
        <v>2</v>
      </c>
      <c r="O18" s="230">
        <v>3</v>
      </c>
      <c r="P18" s="230">
        <v>2</v>
      </c>
      <c r="Q18" s="230">
        <v>2</v>
      </c>
      <c r="R18" s="230">
        <v>2</v>
      </c>
      <c r="S18" s="189">
        <v>2</v>
      </c>
    </row>
    <row r="19" spans="2:19" s="230" customFormat="1" ht="12.95" customHeight="1" x14ac:dyDescent="0.15">
      <c r="B19" s="549"/>
      <c r="C19" s="169" t="s">
        <v>62</v>
      </c>
      <c r="D19" s="170" t="s">
        <v>63</v>
      </c>
      <c r="E19" s="343">
        <f t="shared" ref="E19:S19" si="2">E18</f>
        <v>2</v>
      </c>
      <c r="F19" s="346">
        <f t="shared" si="2"/>
        <v>2</v>
      </c>
      <c r="G19" s="346">
        <f t="shared" si="2"/>
        <v>2</v>
      </c>
      <c r="H19" s="346">
        <f t="shared" si="2"/>
        <v>2</v>
      </c>
      <c r="I19" s="346">
        <f t="shared" si="2"/>
        <v>3</v>
      </c>
      <c r="J19" s="346">
        <f t="shared" si="2"/>
        <v>2</v>
      </c>
      <c r="K19" s="346">
        <f t="shared" si="2"/>
        <v>2</v>
      </c>
      <c r="L19" s="346">
        <f t="shared" si="2"/>
        <v>3</v>
      </c>
      <c r="M19" s="346">
        <f t="shared" si="2"/>
        <v>2</v>
      </c>
      <c r="N19" s="346">
        <f t="shared" si="2"/>
        <v>2</v>
      </c>
      <c r="O19" s="346">
        <f t="shared" si="2"/>
        <v>3</v>
      </c>
      <c r="P19" s="346">
        <f t="shared" si="2"/>
        <v>2</v>
      </c>
      <c r="Q19" s="346">
        <f t="shared" si="2"/>
        <v>2</v>
      </c>
      <c r="R19" s="346">
        <f t="shared" si="2"/>
        <v>2</v>
      </c>
      <c r="S19" s="440">
        <f t="shared" si="2"/>
        <v>2</v>
      </c>
    </row>
    <row r="20" spans="2:19" s="230" customFormat="1" ht="12.95" customHeight="1" x14ac:dyDescent="0.15">
      <c r="B20" s="545"/>
      <c r="C20" s="171" t="s">
        <v>256</v>
      </c>
      <c r="D20" s="172" t="s">
        <v>257</v>
      </c>
      <c r="E20" s="353">
        <f t="shared" ref="E20:S20" si="3">IF(E18="","",$E15/E19)</f>
        <v>17.411358607600793</v>
      </c>
      <c r="F20" s="355">
        <f t="shared" si="3"/>
        <v>17.411358607600793</v>
      </c>
      <c r="G20" s="355">
        <f t="shared" si="3"/>
        <v>17.411358607600793</v>
      </c>
      <c r="H20" s="355">
        <f t="shared" si="3"/>
        <v>17.411358607600793</v>
      </c>
      <c r="I20" s="355">
        <f t="shared" si="3"/>
        <v>11.607572405067195</v>
      </c>
      <c r="J20" s="355">
        <f t="shared" si="3"/>
        <v>17.411358607600793</v>
      </c>
      <c r="K20" s="355">
        <f t="shared" si="3"/>
        <v>17.411358607600793</v>
      </c>
      <c r="L20" s="355">
        <f t="shared" si="3"/>
        <v>11.607572405067195</v>
      </c>
      <c r="M20" s="355">
        <f t="shared" si="3"/>
        <v>17.411358607600793</v>
      </c>
      <c r="N20" s="355">
        <f t="shared" si="3"/>
        <v>17.411358607600793</v>
      </c>
      <c r="O20" s="355">
        <f t="shared" si="3"/>
        <v>11.607572405067195</v>
      </c>
      <c r="P20" s="355">
        <f t="shared" si="3"/>
        <v>17.411358607600793</v>
      </c>
      <c r="Q20" s="355">
        <f t="shared" si="3"/>
        <v>17.411358607600793</v>
      </c>
      <c r="R20" s="355">
        <f t="shared" si="3"/>
        <v>17.411358607600793</v>
      </c>
      <c r="S20" s="439">
        <f t="shared" si="3"/>
        <v>17.411358607600793</v>
      </c>
    </row>
    <row r="21" spans="2:19" ht="12.95" customHeight="1" x14ac:dyDescent="0.15">
      <c r="B21" s="569" t="s">
        <v>259</v>
      </c>
      <c r="C21" s="168" t="s">
        <v>108</v>
      </c>
      <c r="D21" s="240"/>
      <c r="E21" s="441">
        <v>4</v>
      </c>
      <c r="F21" s="405">
        <v>4</v>
      </c>
      <c r="G21" s="405">
        <v>4</v>
      </c>
      <c r="H21" s="405">
        <v>4</v>
      </c>
      <c r="I21" s="405">
        <v>4</v>
      </c>
      <c r="J21" s="405">
        <v>4</v>
      </c>
      <c r="K21" s="405">
        <v>4</v>
      </c>
      <c r="L21" s="405">
        <v>4</v>
      </c>
      <c r="M21" s="405">
        <v>4</v>
      </c>
      <c r="N21" s="405">
        <v>4</v>
      </c>
      <c r="O21" s="405">
        <v>4</v>
      </c>
      <c r="P21" s="405">
        <v>4</v>
      </c>
      <c r="Q21" s="405">
        <v>4</v>
      </c>
      <c r="R21" s="405">
        <v>4</v>
      </c>
      <c r="S21" s="442">
        <v>4</v>
      </c>
    </row>
    <row r="22" spans="2:19" ht="12.95" customHeight="1" x14ac:dyDescent="0.15">
      <c r="B22" s="549"/>
      <c r="C22" s="169" t="s">
        <v>262</v>
      </c>
      <c r="D22" s="170"/>
      <c r="E22" s="443">
        <f>+'L+Ex'!E22</f>
        <v>2</v>
      </c>
      <c r="F22" s="444">
        <f>+'L+Ex'!F22</f>
        <v>2</v>
      </c>
      <c r="G22" s="444">
        <f>+'L+Ex'!G22</f>
        <v>2</v>
      </c>
      <c r="H22" s="444">
        <f>+'L+Ex'!H22</f>
        <v>2</v>
      </c>
      <c r="I22" s="444">
        <f>+'L+Ex'!I22</f>
        <v>2</v>
      </c>
      <c r="J22" s="444">
        <f>+'L+Ex'!J22</f>
        <v>2</v>
      </c>
      <c r="K22" s="444">
        <f>+'L+Ex'!K22</f>
        <v>2</v>
      </c>
      <c r="L22" s="444">
        <f>+'L+Ex'!L22</f>
        <v>2</v>
      </c>
      <c r="M22" s="444">
        <f>+'L+Ex'!M22</f>
        <v>2</v>
      </c>
      <c r="N22" s="444">
        <f>+'L+Ex'!N22</f>
        <v>2</v>
      </c>
      <c r="O22" s="444">
        <f>+'L+Ex'!O22</f>
        <v>2</v>
      </c>
      <c r="P22" s="444">
        <f>+'L+Ex'!P22</f>
        <v>2</v>
      </c>
      <c r="Q22" s="444">
        <f>+'L+Ex'!Q22</f>
        <v>2</v>
      </c>
      <c r="R22" s="444">
        <f>+'L+Ex'!R22</f>
        <v>2</v>
      </c>
      <c r="S22" s="445">
        <f>+'L+Ex'!S22</f>
        <v>2</v>
      </c>
    </row>
    <row r="23" spans="2:19" ht="12.95" customHeight="1" x14ac:dyDescent="0.15">
      <c r="B23" s="549"/>
      <c r="C23" s="169" t="s">
        <v>263</v>
      </c>
      <c r="D23" s="170" t="s">
        <v>31</v>
      </c>
      <c r="E23" s="446">
        <f t="shared" ref="E23:S23" si="4">7*E22*100</f>
        <v>1400</v>
      </c>
      <c r="F23" s="409">
        <f t="shared" si="4"/>
        <v>1400</v>
      </c>
      <c r="G23" s="409">
        <f t="shared" si="4"/>
        <v>1400</v>
      </c>
      <c r="H23" s="409">
        <f t="shared" si="4"/>
        <v>1400</v>
      </c>
      <c r="I23" s="409">
        <f t="shared" si="4"/>
        <v>1400</v>
      </c>
      <c r="J23" s="409">
        <f t="shared" si="4"/>
        <v>1400</v>
      </c>
      <c r="K23" s="409">
        <f t="shared" si="4"/>
        <v>1400</v>
      </c>
      <c r="L23" s="409">
        <f t="shared" si="4"/>
        <v>1400</v>
      </c>
      <c r="M23" s="409">
        <f t="shared" si="4"/>
        <v>1400</v>
      </c>
      <c r="N23" s="409">
        <f t="shared" si="4"/>
        <v>1400</v>
      </c>
      <c r="O23" s="409">
        <f t="shared" si="4"/>
        <v>1400</v>
      </c>
      <c r="P23" s="409">
        <f t="shared" si="4"/>
        <v>1400</v>
      </c>
      <c r="Q23" s="409">
        <f t="shared" si="4"/>
        <v>1400</v>
      </c>
      <c r="R23" s="409">
        <f t="shared" si="4"/>
        <v>1400</v>
      </c>
      <c r="S23" s="447">
        <f t="shared" si="4"/>
        <v>1400</v>
      </c>
    </row>
    <row r="24" spans="2:19" ht="12.95" customHeight="1" x14ac:dyDescent="0.15">
      <c r="B24" s="549"/>
      <c r="C24" s="169" t="s">
        <v>373</v>
      </c>
      <c r="D24" s="170" t="s">
        <v>20</v>
      </c>
      <c r="E24" s="446">
        <f>鉛直!O8</f>
        <v>1</v>
      </c>
      <c r="F24" s="409">
        <f>鉛直!P8</f>
        <v>1</v>
      </c>
      <c r="G24" s="409">
        <f>鉛直!Q8</f>
        <v>1</v>
      </c>
      <c r="H24" s="409">
        <f>鉛直!R8</f>
        <v>1</v>
      </c>
      <c r="I24" s="409">
        <f>鉛直!S8</f>
        <v>1</v>
      </c>
      <c r="J24" s="409">
        <v>1</v>
      </c>
      <c r="K24" s="409">
        <v>1</v>
      </c>
      <c r="L24" s="409">
        <v>1</v>
      </c>
      <c r="M24" s="409">
        <v>1</v>
      </c>
      <c r="N24" s="409">
        <v>1</v>
      </c>
      <c r="O24" s="409">
        <v>1</v>
      </c>
      <c r="P24" s="409">
        <v>1</v>
      </c>
      <c r="Q24" s="409">
        <v>1</v>
      </c>
      <c r="R24" s="409">
        <v>1</v>
      </c>
      <c r="S24" s="447">
        <v>1</v>
      </c>
    </row>
    <row r="25" spans="2:19" ht="12.95" customHeight="1" x14ac:dyDescent="0.15">
      <c r="B25" s="545"/>
      <c r="C25" s="171" t="s">
        <v>267</v>
      </c>
      <c r="D25" s="172"/>
      <c r="E25" s="448">
        <f t="shared" ref="E25:S25" si="5">ROUNDDOWN((1/30)*E21*E23*(E24*100/30)^(-3/4)*10^2,3)</f>
        <v>7566.72</v>
      </c>
      <c r="F25" s="411">
        <f t="shared" si="5"/>
        <v>7566.72</v>
      </c>
      <c r="G25" s="411">
        <f t="shared" si="5"/>
        <v>7566.72</v>
      </c>
      <c r="H25" s="411">
        <f t="shared" si="5"/>
        <v>7566.72</v>
      </c>
      <c r="I25" s="411">
        <f t="shared" si="5"/>
        <v>7566.72</v>
      </c>
      <c r="J25" s="411">
        <f t="shared" si="5"/>
        <v>7566.72</v>
      </c>
      <c r="K25" s="411">
        <f t="shared" si="5"/>
        <v>7566.72</v>
      </c>
      <c r="L25" s="411">
        <f t="shared" si="5"/>
        <v>7566.72</v>
      </c>
      <c r="M25" s="411">
        <f t="shared" si="5"/>
        <v>7566.72</v>
      </c>
      <c r="N25" s="411">
        <f t="shared" si="5"/>
        <v>7566.72</v>
      </c>
      <c r="O25" s="411">
        <f t="shared" si="5"/>
        <v>7566.72</v>
      </c>
      <c r="P25" s="411">
        <f t="shared" si="5"/>
        <v>7566.72</v>
      </c>
      <c r="Q25" s="411">
        <f t="shared" si="5"/>
        <v>7566.72</v>
      </c>
      <c r="R25" s="411">
        <f t="shared" si="5"/>
        <v>7566.72</v>
      </c>
      <c r="S25" s="449">
        <f t="shared" si="5"/>
        <v>7566.72</v>
      </c>
    </row>
    <row r="26" spans="2:19" ht="12.95" customHeight="1" x14ac:dyDescent="0.15">
      <c r="B26" s="569" t="s">
        <v>269</v>
      </c>
      <c r="C26" s="168" t="s">
        <v>19</v>
      </c>
      <c r="D26" s="240" t="s">
        <v>20</v>
      </c>
      <c r="E26" s="450">
        <f>+'L+Ex'!E26</f>
        <v>1</v>
      </c>
      <c r="F26" s="451">
        <f>+'L+Ex'!F26</f>
        <v>1</v>
      </c>
      <c r="G26" s="451">
        <f>+'L+Ex'!G26</f>
        <v>1</v>
      </c>
      <c r="H26" s="451">
        <f>+'L+Ex'!H26</f>
        <v>1</v>
      </c>
      <c r="I26" s="451">
        <f>+'L+Ex'!I26</f>
        <v>1</v>
      </c>
      <c r="J26" s="451">
        <f>+'L+Ex'!J26</f>
        <v>1</v>
      </c>
      <c r="K26" s="451">
        <f>+'L+Ex'!K26</f>
        <v>1</v>
      </c>
      <c r="L26" s="451">
        <f>+'L+Ex'!L26</f>
        <v>1</v>
      </c>
      <c r="M26" s="451">
        <f>+'L+Ex'!M26</f>
        <v>1</v>
      </c>
      <c r="N26" s="451">
        <f>+'L+Ex'!N26</f>
        <v>1</v>
      </c>
      <c r="O26" s="451">
        <f>+'L+Ex'!O26</f>
        <v>1</v>
      </c>
      <c r="P26" s="451">
        <f>+'L+Ex'!P26</f>
        <v>1</v>
      </c>
      <c r="Q26" s="451">
        <f>+'L+Ex'!Q26</f>
        <v>1</v>
      </c>
      <c r="R26" s="451">
        <f>+'L+Ex'!R26</f>
        <v>1</v>
      </c>
      <c r="S26" s="452">
        <f>+'L+Ex'!S26</f>
        <v>1</v>
      </c>
    </row>
    <row r="27" spans="2:19" ht="12.95" customHeight="1" x14ac:dyDescent="0.15">
      <c r="B27" s="549"/>
      <c r="C27" s="169" t="s">
        <v>265</v>
      </c>
      <c r="D27" s="170" t="s">
        <v>20</v>
      </c>
      <c r="E27" s="453">
        <f>+'L+Ex'!E27</f>
        <v>1</v>
      </c>
      <c r="F27" s="454">
        <f>+'L+Ex'!F27</f>
        <v>1</v>
      </c>
      <c r="G27" s="454">
        <f>+'L+Ex'!G27</f>
        <v>1</v>
      </c>
      <c r="H27" s="454">
        <f>+'L+Ex'!H27</f>
        <v>1</v>
      </c>
      <c r="I27" s="454">
        <f>+'L+Ex'!I27</f>
        <v>1</v>
      </c>
      <c r="J27" s="454">
        <f>+'L+Ex'!J27</f>
        <v>1</v>
      </c>
      <c r="K27" s="454">
        <f>+'L+Ex'!K27</f>
        <v>1</v>
      </c>
      <c r="L27" s="454">
        <f>+'L+Ex'!L27</f>
        <v>1</v>
      </c>
      <c r="M27" s="454">
        <f>+'L+Ex'!M27</f>
        <v>1</v>
      </c>
      <c r="N27" s="454">
        <f>+'L+Ex'!N27</f>
        <v>1</v>
      </c>
      <c r="O27" s="454">
        <f>+'L+Ex'!O27</f>
        <v>1</v>
      </c>
      <c r="P27" s="454">
        <f>+'L+Ex'!P27</f>
        <v>1</v>
      </c>
      <c r="Q27" s="454">
        <f>+'L+Ex'!Q27</f>
        <v>1</v>
      </c>
      <c r="R27" s="454">
        <f>+'L+Ex'!R27</f>
        <v>1</v>
      </c>
      <c r="S27" s="455">
        <f>+'L+Ex'!S27</f>
        <v>1</v>
      </c>
    </row>
    <row r="28" spans="2:19" ht="12.95" customHeight="1" x14ac:dyDescent="0.15">
      <c r="B28" s="549"/>
      <c r="C28" s="169" t="s">
        <v>273</v>
      </c>
      <c r="D28" s="170"/>
      <c r="E28" s="446">
        <f t="shared" ref="E28:S28" si="6">E26/E27</f>
        <v>1</v>
      </c>
      <c r="F28" s="409">
        <f t="shared" si="6"/>
        <v>1</v>
      </c>
      <c r="G28" s="409">
        <f t="shared" si="6"/>
        <v>1</v>
      </c>
      <c r="H28" s="409">
        <f t="shared" si="6"/>
        <v>1</v>
      </c>
      <c r="I28" s="409">
        <f t="shared" si="6"/>
        <v>1</v>
      </c>
      <c r="J28" s="409">
        <f t="shared" si="6"/>
        <v>1</v>
      </c>
      <c r="K28" s="409">
        <f t="shared" si="6"/>
        <v>1</v>
      </c>
      <c r="L28" s="409">
        <f t="shared" si="6"/>
        <v>1</v>
      </c>
      <c r="M28" s="409">
        <f t="shared" si="6"/>
        <v>1</v>
      </c>
      <c r="N28" s="409">
        <f t="shared" si="6"/>
        <v>1</v>
      </c>
      <c r="O28" s="409">
        <f t="shared" si="6"/>
        <v>1</v>
      </c>
      <c r="P28" s="409">
        <f t="shared" si="6"/>
        <v>1</v>
      </c>
      <c r="Q28" s="409">
        <f t="shared" si="6"/>
        <v>1</v>
      </c>
      <c r="R28" s="409">
        <f t="shared" si="6"/>
        <v>1</v>
      </c>
      <c r="S28" s="447">
        <f t="shared" si="6"/>
        <v>1</v>
      </c>
    </row>
    <row r="29" spans="2:19" ht="12.95" customHeight="1" x14ac:dyDescent="0.15">
      <c r="B29" s="549"/>
      <c r="C29" s="169" t="s">
        <v>275</v>
      </c>
      <c r="D29" s="170"/>
      <c r="E29" s="446">
        <f t="shared" ref="E29:S29" si="7">ROUNDDOWN((1-0.2*(3-E28)),1)</f>
        <v>0.6</v>
      </c>
      <c r="F29" s="409">
        <f t="shared" si="7"/>
        <v>0.6</v>
      </c>
      <c r="G29" s="409">
        <f t="shared" si="7"/>
        <v>0.6</v>
      </c>
      <c r="H29" s="409">
        <f t="shared" si="7"/>
        <v>0.6</v>
      </c>
      <c r="I29" s="409">
        <f t="shared" si="7"/>
        <v>0.6</v>
      </c>
      <c r="J29" s="409">
        <f t="shared" si="7"/>
        <v>0.6</v>
      </c>
      <c r="K29" s="409">
        <f t="shared" si="7"/>
        <v>0.6</v>
      </c>
      <c r="L29" s="409">
        <f t="shared" si="7"/>
        <v>0.6</v>
      </c>
      <c r="M29" s="409">
        <f t="shared" si="7"/>
        <v>0.6</v>
      </c>
      <c r="N29" s="409">
        <f t="shared" si="7"/>
        <v>0.6</v>
      </c>
      <c r="O29" s="409">
        <f t="shared" si="7"/>
        <v>0.6</v>
      </c>
      <c r="P29" s="409">
        <f t="shared" si="7"/>
        <v>0.6</v>
      </c>
      <c r="Q29" s="409">
        <f t="shared" si="7"/>
        <v>0.6</v>
      </c>
      <c r="R29" s="409">
        <f t="shared" si="7"/>
        <v>0.6</v>
      </c>
      <c r="S29" s="447">
        <f t="shared" si="7"/>
        <v>0.6</v>
      </c>
    </row>
    <row r="30" spans="2:19" ht="12.95" customHeight="1" x14ac:dyDescent="0.15">
      <c r="B30" s="549"/>
      <c r="C30" s="169" t="s">
        <v>239</v>
      </c>
      <c r="D30" s="170" t="s">
        <v>20</v>
      </c>
      <c r="E30" s="446">
        <f t="shared" ref="E30:S30" si="8">+E27</f>
        <v>1</v>
      </c>
      <c r="F30" s="409">
        <f t="shared" si="8"/>
        <v>1</v>
      </c>
      <c r="G30" s="409">
        <f t="shared" si="8"/>
        <v>1</v>
      </c>
      <c r="H30" s="409">
        <f t="shared" si="8"/>
        <v>1</v>
      </c>
      <c r="I30" s="409">
        <f t="shared" si="8"/>
        <v>1</v>
      </c>
      <c r="J30" s="409">
        <f t="shared" si="8"/>
        <v>1</v>
      </c>
      <c r="K30" s="409">
        <f t="shared" si="8"/>
        <v>1</v>
      </c>
      <c r="L30" s="409">
        <f t="shared" si="8"/>
        <v>1</v>
      </c>
      <c r="M30" s="409">
        <f t="shared" si="8"/>
        <v>1</v>
      </c>
      <c r="N30" s="409">
        <f t="shared" si="8"/>
        <v>1</v>
      </c>
      <c r="O30" s="409">
        <f t="shared" si="8"/>
        <v>1</v>
      </c>
      <c r="P30" s="409">
        <f t="shared" si="8"/>
        <v>1</v>
      </c>
      <c r="Q30" s="409">
        <f t="shared" si="8"/>
        <v>1</v>
      </c>
      <c r="R30" s="409">
        <f t="shared" si="8"/>
        <v>1</v>
      </c>
      <c r="S30" s="409">
        <f t="shared" si="8"/>
        <v>1</v>
      </c>
    </row>
    <row r="31" spans="2:19" ht="12.95" customHeight="1" x14ac:dyDescent="0.15">
      <c r="B31" s="549"/>
      <c r="C31" s="169" t="s">
        <v>276</v>
      </c>
      <c r="D31" s="170"/>
      <c r="E31" s="456">
        <f t="shared" ref="E31:S31" si="9">ROUNDDOWN((1/30)*E21*E23*(E30*100/30)^(-3/4)*10^2,2)</f>
        <v>7566.72</v>
      </c>
      <c r="F31" s="417">
        <f t="shared" si="9"/>
        <v>7566.72</v>
      </c>
      <c r="G31" s="417">
        <f t="shared" si="9"/>
        <v>7566.72</v>
      </c>
      <c r="H31" s="417">
        <f t="shared" si="9"/>
        <v>7566.72</v>
      </c>
      <c r="I31" s="417">
        <f t="shared" si="9"/>
        <v>7566.72</v>
      </c>
      <c r="J31" s="417">
        <f t="shared" si="9"/>
        <v>7566.72</v>
      </c>
      <c r="K31" s="417">
        <f t="shared" si="9"/>
        <v>7566.72</v>
      </c>
      <c r="L31" s="417">
        <f t="shared" si="9"/>
        <v>7566.72</v>
      </c>
      <c r="M31" s="417">
        <f t="shared" si="9"/>
        <v>7566.72</v>
      </c>
      <c r="N31" s="417">
        <f t="shared" si="9"/>
        <v>7566.72</v>
      </c>
      <c r="O31" s="417">
        <f t="shared" si="9"/>
        <v>7566.72</v>
      </c>
      <c r="P31" s="417">
        <f t="shared" si="9"/>
        <v>7566.72</v>
      </c>
      <c r="Q31" s="417">
        <f t="shared" si="9"/>
        <v>7566.72</v>
      </c>
      <c r="R31" s="417">
        <f t="shared" si="9"/>
        <v>7566.72</v>
      </c>
      <c r="S31" s="457">
        <f t="shared" si="9"/>
        <v>7566.72</v>
      </c>
    </row>
    <row r="32" spans="2:19" ht="12.95" customHeight="1" x14ac:dyDescent="0.15">
      <c r="B32" s="549"/>
      <c r="C32" s="169" t="s">
        <v>279</v>
      </c>
      <c r="D32" s="170"/>
      <c r="E32" s="456">
        <f t="shared" ref="E32:S32" si="10">ROUNDDOWN(E31/E25,2)</f>
        <v>1</v>
      </c>
      <c r="F32" s="417">
        <f t="shared" si="10"/>
        <v>1</v>
      </c>
      <c r="G32" s="417">
        <f t="shared" si="10"/>
        <v>1</v>
      </c>
      <c r="H32" s="417">
        <f t="shared" si="10"/>
        <v>1</v>
      </c>
      <c r="I32" s="417">
        <f t="shared" si="10"/>
        <v>1</v>
      </c>
      <c r="J32" s="417">
        <f t="shared" si="10"/>
        <v>1</v>
      </c>
      <c r="K32" s="417">
        <f t="shared" si="10"/>
        <v>1</v>
      </c>
      <c r="L32" s="417">
        <f t="shared" si="10"/>
        <v>1</v>
      </c>
      <c r="M32" s="417">
        <f t="shared" si="10"/>
        <v>1</v>
      </c>
      <c r="N32" s="417">
        <f t="shared" si="10"/>
        <v>1</v>
      </c>
      <c r="O32" s="417">
        <f t="shared" si="10"/>
        <v>1</v>
      </c>
      <c r="P32" s="417">
        <f t="shared" si="10"/>
        <v>1</v>
      </c>
      <c r="Q32" s="417">
        <f t="shared" si="10"/>
        <v>1</v>
      </c>
      <c r="R32" s="417">
        <f t="shared" si="10"/>
        <v>1</v>
      </c>
      <c r="S32" s="457">
        <f t="shared" si="10"/>
        <v>1</v>
      </c>
    </row>
    <row r="33" spans="2:19" ht="12.95" customHeight="1" x14ac:dyDescent="0.15">
      <c r="B33" s="549"/>
      <c r="C33" s="169" t="s">
        <v>281</v>
      </c>
      <c r="D33" s="170"/>
      <c r="E33" s="446">
        <f t="shared" ref="E33:S33" si="11">MAX(E29,E32)</f>
        <v>1</v>
      </c>
      <c r="F33" s="409">
        <f t="shared" si="11"/>
        <v>1</v>
      </c>
      <c r="G33" s="409">
        <f t="shared" si="11"/>
        <v>1</v>
      </c>
      <c r="H33" s="409">
        <f t="shared" si="11"/>
        <v>1</v>
      </c>
      <c r="I33" s="409">
        <f t="shared" si="11"/>
        <v>1</v>
      </c>
      <c r="J33" s="409">
        <f t="shared" si="11"/>
        <v>1</v>
      </c>
      <c r="K33" s="409">
        <f t="shared" si="11"/>
        <v>1</v>
      </c>
      <c r="L33" s="409">
        <f t="shared" si="11"/>
        <v>1</v>
      </c>
      <c r="M33" s="409">
        <f t="shared" si="11"/>
        <v>1</v>
      </c>
      <c r="N33" s="409">
        <f t="shared" si="11"/>
        <v>1</v>
      </c>
      <c r="O33" s="409">
        <f t="shared" si="11"/>
        <v>1</v>
      </c>
      <c r="P33" s="409">
        <f t="shared" si="11"/>
        <v>1</v>
      </c>
      <c r="Q33" s="409">
        <f t="shared" si="11"/>
        <v>1</v>
      </c>
      <c r="R33" s="409">
        <f t="shared" si="11"/>
        <v>1</v>
      </c>
      <c r="S33" s="447">
        <f t="shared" si="11"/>
        <v>1</v>
      </c>
    </row>
    <row r="34" spans="2:19" ht="12.95" customHeight="1" x14ac:dyDescent="0.15">
      <c r="B34" s="549"/>
      <c r="C34" s="169" t="s">
        <v>282</v>
      </c>
      <c r="D34" s="170"/>
      <c r="E34" s="446">
        <f t="shared" ref="E34:S34" si="12">(1-0.3*(3-E28))</f>
        <v>0.4</v>
      </c>
      <c r="F34" s="409">
        <f t="shared" si="12"/>
        <v>0.4</v>
      </c>
      <c r="G34" s="409">
        <f t="shared" si="12"/>
        <v>0.4</v>
      </c>
      <c r="H34" s="409">
        <f t="shared" si="12"/>
        <v>0.4</v>
      </c>
      <c r="I34" s="409">
        <f t="shared" si="12"/>
        <v>0.4</v>
      </c>
      <c r="J34" s="409">
        <f t="shared" si="12"/>
        <v>0.4</v>
      </c>
      <c r="K34" s="409">
        <f t="shared" si="12"/>
        <v>0.4</v>
      </c>
      <c r="L34" s="409">
        <f t="shared" si="12"/>
        <v>0.4</v>
      </c>
      <c r="M34" s="409">
        <f t="shared" si="12"/>
        <v>0.4</v>
      </c>
      <c r="N34" s="409">
        <f t="shared" si="12"/>
        <v>0.4</v>
      </c>
      <c r="O34" s="409">
        <f t="shared" si="12"/>
        <v>0.4</v>
      </c>
      <c r="P34" s="409">
        <f t="shared" si="12"/>
        <v>0.4</v>
      </c>
      <c r="Q34" s="409">
        <f t="shared" si="12"/>
        <v>0.4</v>
      </c>
      <c r="R34" s="409">
        <f t="shared" si="12"/>
        <v>0.4</v>
      </c>
      <c r="S34" s="447">
        <f t="shared" si="12"/>
        <v>0.4</v>
      </c>
    </row>
    <row r="35" spans="2:19" ht="12.95" customHeight="1" x14ac:dyDescent="0.15">
      <c r="B35" s="549"/>
      <c r="C35" s="169" t="s">
        <v>284</v>
      </c>
      <c r="D35" s="170"/>
      <c r="E35" s="446">
        <f t="shared" ref="E35:S35" si="13">E33*E34</f>
        <v>0.4</v>
      </c>
      <c r="F35" s="409">
        <f t="shared" si="13"/>
        <v>0.4</v>
      </c>
      <c r="G35" s="409">
        <f t="shared" si="13"/>
        <v>0.4</v>
      </c>
      <c r="H35" s="409">
        <f t="shared" si="13"/>
        <v>0.4</v>
      </c>
      <c r="I35" s="409">
        <f t="shared" si="13"/>
        <v>0.4</v>
      </c>
      <c r="J35" s="409">
        <f t="shared" si="13"/>
        <v>0.4</v>
      </c>
      <c r="K35" s="409">
        <f t="shared" si="13"/>
        <v>0.4</v>
      </c>
      <c r="L35" s="409">
        <f t="shared" si="13"/>
        <v>0.4</v>
      </c>
      <c r="M35" s="409">
        <f t="shared" si="13"/>
        <v>0.4</v>
      </c>
      <c r="N35" s="409">
        <f t="shared" si="13"/>
        <v>0.4</v>
      </c>
      <c r="O35" s="409">
        <f t="shared" si="13"/>
        <v>0.4</v>
      </c>
      <c r="P35" s="409">
        <f t="shared" si="13"/>
        <v>0.4</v>
      </c>
      <c r="Q35" s="409">
        <f t="shared" si="13"/>
        <v>0.4</v>
      </c>
      <c r="R35" s="409">
        <f t="shared" si="13"/>
        <v>0.4</v>
      </c>
      <c r="S35" s="447">
        <f t="shared" si="13"/>
        <v>0.4</v>
      </c>
    </row>
    <row r="36" spans="2:19" ht="12.95" customHeight="1" x14ac:dyDescent="0.15">
      <c r="B36" s="545"/>
      <c r="C36" s="171" t="s">
        <v>286</v>
      </c>
      <c r="D36" s="172"/>
      <c r="E36" s="448">
        <f t="shared" ref="E36:S36" si="14">ROUNDDOWN(E35*E25,2)</f>
        <v>3026.68</v>
      </c>
      <c r="F36" s="411">
        <f t="shared" si="14"/>
        <v>3026.68</v>
      </c>
      <c r="G36" s="411">
        <f t="shared" si="14"/>
        <v>3026.68</v>
      </c>
      <c r="H36" s="411">
        <f t="shared" si="14"/>
        <v>3026.68</v>
      </c>
      <c r="I36" s="411">
        <f t="shared" si="14"/>
        <v>3026.68</v>
      </c>
      <c r="J36" s="411">
        <f t="shared" si="14"/>
        <v>3026.68</v>
      </c>
      <c r="K36" s="411">
        <f t="shared" si="14"/>
        <v>3026.68</v>
      </c>
      <c r="L36" s="411">
        <f t="shared" si="14"/>
        <v>3026.68</v>
      </c>
      <c r="M36" s="411">
        <f t="shared" si="14"/>
        <v>3026.68</v>
      </c>
      <c r="N36" s="411">
        <f t="shared" si="14"/>
        <v>3026.68</v>
      </c>
      <c r="O36" s="411">
        <f t="shared" si="14"/>
        <v>3026.68</v>
      </c>
      <c r="P36" s="411">
        <f t="shared" si="14"/>
        <v>3026.68</v>
      </c>
      <c r="Q36" s="411">
        <f t="shared" si="14"/>
        <v>3026.68</v>
      </c>
      <c r="R36" s="411">
        <f t="shared" si="14"/>
        <v>3026.68</v>
      </c>
      <c r="S36" s="449">
        <f t="shared" si="14"/>
        <v>3026.68</v>
      </c>
    </row>
    <row r="37" spans="2:19" ht="12.95" customHeight="1" x14ac:dyDescent="0.15">
      <c r="B37" s="569" t="s">
        <v>287</v>
      </c>
      <c r="C37" s="168" t="s">
        <v>30</v>
      </c>
      <c r="D37" s="240" t="s">
        <v>31</v>
      </c>
      <c r="E37" s="458">
        <f>+'L+Ex'!E37</f>
        <v>800</v>
      </c>
      <c r="F37" s="419">
        <f t="shared" ref="F37:S37" si="15">+E37</f>
        <v>800</v>
      </c>
      <c r="G37" s="419">
        <f t="shared" si="15"/>
        <v>800</v>
      </c>
      <c r="H37" s="419">
        <f t="shared" si="15"/>
        <v>800</v>
      </c>
      <c r="I37" s="419">
        <f t="shared" si="15"/>
        <v>800</v>
      </c>
      <c r="J37" s="419">
        <f t="shared" si="15"/>
        <v>800</v>
      </c>
      <c r="K37" s="419">
        <f t="shared" si="15"/>
        <v>800</v>
      </c>
      <c r="L37" s="419">
        <f t="shared" si="15"/>
        <v>800</v>
      </c>
      <c r="M37" s="419">
        <f t="shared" si="15"/>
        <v>800</v>
      </c>
      <c r="N37" s="419">
        <f t="shared" si="15"/>
        <v>800</v>
      </c>
      <c r="O37" s="419">
        <f t="shared" si="15"/>
        <v>800</v>
      </c>
      <c r="P37" s="419">
        <f t="shared" si="15"/>
        <v>800</v>
      </c>
      <c r="Q37" s="419">
        <f t="shared" si="15"/>
        <v>800</v>
      </c>
      <c r="R37" s="419">
        <f t="shared" si="15"/>
        <v>800</v>
      </c>
      <c r="S37" s="459">
        <f t="shared" si="15"/>
        <v>800</v>
      </c>
    </row>
    <row r="38" spans="2:19" ht="12.95" customHeight="1" x14ac:dyDescent="0.15">
      <c r="B38" s="549"/>
      <c r="C38" s="169" t="s">
        <v>288</v>
      </c>
      <c r="D38" s="170" t="s">
        <v>31</v>
      </c>
      <c r="E38" s="460">
        <f t="shared" ref="E38:S38" si="16">E37*180</f>
        <v>144000</v>
      </c>
      <c r="F38" s="421">
        <f t="shared" si="16"/>
        <v>144000</v>
      </c>
      <c r="G38" s="421">
        <f t="shared" si="16"/>
        <v>144000</v>
      </c>
      <c r="H38" s="421">
        <f t="shared" si="16"/>
        <v>144000</v>
      </c>
      <c r="I38" s="421">
        <f t="shared" si="16"/>
        <v>144000</v>
      </c>
      <c r="J38" s="421">
        <f t="shared" si="16"/>
        <v>144000</v>
      </c>
      <c r="K38" s="421">
        <f t="shared" si="16"/>
        <v>144000</v>
      </c>
      <c r="L38" s="421">
        <f t="shared" si="16"/>
        <v>144000</v>
      </c>
      <c r="M38" s="421">
        <f t="shared" si="16"/>
        <v>144000</v>
      </c>
      <c r="N38" s="421">
        <f t="shared" si="16"/>
        <v>144000</v>
      </c>
      <c r="O38" s="421">
        <f t="shared" si="16"/>
        <v>144000</v>
      </c>
      <c r="P38" s="421">
        <f t="shared" si="16"/>
        <v>144000</v>
      </c>
      <c r="Q38" s="421">
        <f t="shared" si="16"/>
        <v>144000</v>
      </c>
      <c r="R38" s="421">
        <f t="shared" si="16"/>
        <v>144000</v>
      </c>
      <c r="S38" s="461">
        <f t="shared" si="16"/>
        <v>144000</v>
      </c>
    </row>
    <row r="39" spans="2:19" ht="12.95" customHeight="1" x14ac:dyDescent="0.15">
      <c r="B39" s="549"/>
      <c r="C39" s="169" t="s">
        <v>290</v>
      </c>
      <c r="D39" s="170" t="s">
        <v>291</v>
      </c>
      <c r="E39" s="462">
        <f t="shared" ref="E39:S39" si="17">ROUNDDOWN(PI()*E24^4/64,3)</f>
        <v>4.9000000000000002E-2</v>
      </c>
      <c r="F39" s="423">
        <f t="shared" si="17"/>
        <v>4.9000000000000002E-2</v>
      </c>
      <c r="G39" s="423">
        <f t="shared" si="17"/>
        <v>4.9000000000000002E-2</v>
      </c>
      <c r="H39" s="423">
        <f t="shared" si="17"/>
        <v>4.9000000000000002E-2</v>
      </c>
      <c r="I39" s="423">
        <f t="shared" si="17"/>
        <v>4.9000000000000002E-2</v>
      </c>
      <c r="J39" s="423">
        <f t="shared" si="17"/>
        <v>4.9000000000000002E-2</v>
      </c>
      <c r="K39" s="423">
        <f t="shared" si="17"/>
        <v>4.9000000000000002E-2</v>
      </c>
      <c r="L39" s="423">
        <f t="shared" si="17"/>
        <v>4.9000000000000002E-2</v>
      </c>
      <c r="M39" s="423">
        <f t="shared" si="17"/>
        <v>4.9000000000000002E-2</v>
      </c>
      <c r="N39" s="423">
        <f t="shared" si="17"/>
        <v>4.9000000000000002E-2</v>
      </c>
      <c r="O39" s="423">
        <f t="shared" si="17"/>
        <v>4.9000000000000002E-2</v>
      </c>
      <c r="P39" s="423">
        <f t="shared" si="17"/>
        <v>4.9000000000000002E-2</v>
      </c>
      <c r="Q39" s="423">
        <f t="shared" si="17"/>
        <v>4.9000000000000002E-2</v>
      </c>
      <c r="R39" s="423">
        <f t="shared" si="17"/>
        <v>4.9000000000000002E-2</v>
      </c>
      <c r="S39" s="463">
        <f t="shared" si="17"/>
        <v>4.9000000000000002E-2</v>
      </c>
    </row>
    <row r="40" spans="2:19" ht="12.95" customHeight="1" x14ac:dyDescent="0.15">
      <c r="B40" s="549"/>
      <c r="C40" s="169" t="s">
        <v>111</v>
      </c>
      <c r="D40" s="170"/>
      <c r="E40" s="456">
        <f t="shared" ref="E40:S40" si="18">ROUNDDOWN((E36*E24/4/E38/E39)^(1/4),2)</f>
        <v>0.56999999999999995</v>
      </c>
      <c r="F40" s="417">
        <f t="shared" si="18"/>
        <v>0.56999999999999995</v>
      </c>
      <c r="G40" s="417">
        <f t="shared" si="18"/>
        <v>0.56999999999999995</v>
      </c>
      <c r="H40" s="417">
        <f t="shared" si="18"/>
        <v>0.56999999999999995</v>
      </c>
      <c r="I40" s="417">
        <f t="shared" si="18"/>
        <v>0.56999999999999995</v>
      </c>
      <c r="J40" s="417">
        <f t="shared" si="18"/>
        <v>0.56999999999999995</v>
      </c>
      <c r="K40" s="417">
        <f t="shared" si="18"/>
        <v>0.56999999999999995</v>
      </c>
      <c r="L40" s="417">
        <f t="shared" si="18"/>
        <v>0.56999999999999995</v>
      </c>
      <c r="M40" s="417">
        <f t="shared" si="18"/>
        <v>0.56999999999999995</v>
      </c>
      <c r="N40" s="417">
        <f t="shared" si="18"/>
        <v>0.56999999999999995</v>
      </c>
      <c r="O40" s="417">
        <f t="shared" si="18"/>
        <v>0.56999999999999995</v>
      </c>
      <c r="P40" s="417">
        <f t="shared" si="18"/>
        <v>0.56999999999999995</v>
      </c>
      <c r="Q40" s="417">
        <f t="shared" si="18"/>
        <v>0.56999999999999995</v>
      </c>
      <c r="R40" s="417">
        <f t="shared" si="18"/>
        <v>0.56999999999999995</v>
      </c>
      <c r="S40" s="457">
        <f t="shared" si="18"/>
        <v>0.56999999999999995</v>
      </c>
    </row>
    <row r="41" spans="2:19" ht="12.95" customHeight="1" x14ac:dyDescent="0.15">
      <c r="B41" s="549"/>
      <c r="C41" s="169" t="s">
        <v>26</v>
      </c>
      <c r="D41" s="170" t="s">
        <v>20</v>
      </c>
      <c r="E41" s="446">
        <f>鉛直!O10</f>
        <v>8</v>
      </c>
      <c r="F41" s="409">
        <f>鉛直!P10</f>
        <v>9.02</v>
      </c>
      <c r="G41" s="409">
        <f>鉛直!Q10</f>
        <v>9.02</v>
      </c>
      <c r="H41" s="409">
        <f>鉛直!R10</f>
        <v>9.02</v>
      </c>
      <c r="I41" s="409">
        <f>鉛直!S10</f>
        <v>9.02</v>
      </c>
      <c r="J41" s="409">
        <f t="shared" ref="J41:S41" si="19">I41</f>
        <v>9.02</v>
      </c>
      <c r="K41" s="409">
        <f t="shared" si="19"/>
        <v>9.02</v>
      </c>
      <c r="L41" s="409">
        <f t="shared" si="19"/>
        <v>9.02</v>
      </c>
      <c r="M41" s="409">
        <f t="shared" si="19"/>
        <v>9.02</v>
      </c>
      <c r="N41" s="409">
        <f t="shared" si="19"/>
        <v>9.02</v>
      </c>
      <c r="O41" s="409">
        <f t="shared" si="19"/>
        <v>9.02</v>
      </c>
      <c r="P41" s="409">
        <f t="shared" si="19"/>
        <v>9.02</v>
      </c>
      <c r="Q41" s="409">
        <f t="shared" si="19"/>
        <v>9.02</v>
      </c>
      <c r="R41" s="409">
        <f t="shared" si="19"/>
        <v>9.02</v>
      </c>
      <c r="S41" s="447">
        <f t="shared" si="19"/>
        <v>9.02</v>
      </c>
    </row>
    <row r="42" spans="2:19" ht="12.95" customHeight="1" x14ac:dyDescent="0.15">
      <c r="B42" s="549"/>
      <c r="C42" s="169" t="s">
        <v>294</v>
      </c>
      <c r="D42" s="170"/>
      <c r="E42" s="446">
        <f t="shared" ref="E42:S42" si="20">ROUNDDOWN(E40*E41,1)</f>
        <v>4.5</v>
      </c>
      <c r="F42" s="409">
        <f t="shared" si="20"/>
        <v>5.0999999999999996</v>
      </c>
      <c r="G42" s="409">
        <f t="shared" si="20"/>
        <v>5.0999999999999996</v>
      </c>
      <c r="H42" s="409">
        <f t="shared" si="20"/>
        <v>5.0999999999999996</v>
      </c>
      <c r="I42" s="409">
        <f t="shared" si="20"/>
        <v>5.0999999999999996</v>
      </c>
      <c r="J42" s="409">
        <f t="shared" si="20"/>
        <v>5.0999999999999996</v>
      </c>
      <c r="K42" s="409">
        <f t="shared" si="20"/>
        <v>5.0999999999999996</v>
      </c>
      <c r="L42" s="409">
        <f t="shared" si="20"/>
        <v>5.0999999999999996</v>
      </c>
      <c r="M42" s="409">
        <f t="shared" si="20"/>
        <v>5.0999999999999996</v>
      </c>
      <c r="N42" s="409">
        <f t="shared" si="20"/>
        <v>5.0999999999999996</v>
      </c>
      <c r="O42" s="409">
        <f t="shared" si="20"/>
        <v>5.0999999999999996</v>
      </c>
      <c r="P42" s="409">
        <f t="shared" si="20"/>
        <v>5.0999999999999996</v>
      </c>
      <c r="Q42" s="409">
        <f t="shared" si="20"/>
        <v>5.0999999999999996</v>
      </c>
      <c r="R42" s="409">
        <f t="shared" si="20"/>
        <v>5.0999999999999996</v>
      </c>
      <c r="S42" s="447">
        <f t="shared" si="20"/>
        <v>5.0999999999999996</v>
      </c>
    </row>
    <row r="43" spans="2:19" ht="12.95" customHeight="1" x14ac:dyDescent="0.15">
      <c r="B43" s="549"/>
      <c r="C43" s="169" t="s">
        <v>296</v>
      </c>
      <c r="D43" s="170"/>
      <c r="E43" s="462">
        <f>IF(E45=0.25,IF(E42&lt;5,VLOOKUP(E42,Sheet3!$A$5:$I$50,2,0),Sheet3!$B$50),IF(E42&lt;5,VLOOKUP(E42,Sheet3!$A$5:$I$50,6,0),Sheet3!$F$50))</f>
        <v>0.64400000000000002</v>
      </c>
      <c r="F43" s="422">
        <f>IF(F45=0.25,IF(F42&lt;5,VLOOKUP(F42,Sheet3!$A$5:$I$50,2,0),Sheet3!$B$50),IF(F42&lt;5,VLOOKUP(F42,Sheet3!$A$5:$I$50,6,0),Sheet3!$F$50))</f>
        <v>0.64500000000000002</v>
      </c>
      <c r="G43" s="422">
        <f>IF(G45=0.25,IF(G42&lt;5,VLOOKUP(G42,Sheet3!$A$5:$I$50,2,0),Sheet3!$B$50),IF(G42&lt;5,VLOOKUP(G42,Sheet3!$A$5:$I$50,6,0),Sheet3!$F$50))</f>
        <v>0.64500000000000002</v>
      </c>
      <c r="H43" s="422">
        <f>IF(H45=0.25,IF(H42&lt;5,VLOOKUP(H42,Sheet3!$A$5:$I$50,2,0),Sheet3!$B$50),IF(H42&lt;5,VLOOKUP(H42,Sheet3!$A$5:$I$50,6,0),Sheet3!$F$50))</f>
        <v>0.64500000000000002</v>
      </c>
      <c r="I43" s="422">
        <f>IF(I45=0.25,IF(I42&lt;5,VLOOKUP(I42,Sheet3!$A$5:$I$50,2,0),Sheet3!$B$50),IF(I42&lt;5,VLOOKUP(I42,Sheet3!$A$5:$I$50,6,0),Sheet3!$F$50))</f>
        <v>0.64500000000000002</v>
      </c>
      <c r="J43" s="422">
        <f>IF(J45=0.25,IF(J42&lt;5,VLOOKUP(J42,Sheet3!$A$5:$I$50,2,0),Sheet3!$B$50),IF(J42&lt;5,VLOOKUP(J42,Sheet3!$A$5:$I$50,6,0),Sheet3!$F$50))</f>
        <v>0.64500000000000002</v>
      </c>
      <c r="K43" s="422">
        <f>IF(K45=0.25,IF(K42&lt;5,VLOOKUP(K42,Sheet3!$A$5:$I$50,2,0),Sheet3!$B$50),IF(K42&lt;5,VLOOKUP(K42,Sheet3!$A$5:$I$50,6,0),Sheet3!$F$50))</f>
        <v>0.64500000000000002</v>
      </c>
      <c r="L43" s="422">
        <f>IF(L45=0.25,IF(L42&lt;5,VLOOKUP(L42,Sheet3!$A$5:$I$50,2,0),Sheet3!$B$50),IF(L42&lt;5,VLOOKUP(L42,Sheet3!$A$5:$I$50,6,0),Sheet3!$F$50))</f>
        <v>0.64500000000000002</v>
      </c>
      <c r="M43" s="422">
        <f>IF(M45=0.25,IF(M42&lt;5,VLOOKUP(M42,Sheet3!$A$5:$I$50,2,0),Sheet3!$B$50),IF(M42&lt;5,VLOOKUP(M42,Sheet3!$A$5:$I$50,6,0),Sheet3!$F$50))</f>
        <v>0.64500000000000002</v>
      </c>
      <c r="N43" s="422">
        <f>IF(N45=0.25,IF(N42&lt;5,VLOOKUP(N42,Sheet3!$A$5:$I$50,2,0),Sheet3!$B$50),IF(N42&lt;5,VLOOKUP(N42,Sheet3!$A$5:$I$50,6,0),Sheet3!$F$50))</f>
        <v>0.64500000000000002</v>
      </c>
      <c r="O43" s="422">
        <f>IF(O45=0.25,IF(O42&lt;5,VLOOKUP(O42,Sheet3!$A$5:$I$50,2,0),Sheet3!$B$50),IF(O42&lt;5,VLOOKUP(O42,Sheet3!$A$5:$I$50,6,0),Sheet3!$F$50))</f>
        <v>0.64500000000000002</v>
      </c>
      <c r="P43" s="422">
        <f>IF(P45=0.25,IF(P42&lt;5,VLOOKUP(P42,Sheet3!$A$5:$I$50,2,0),Sheet3!$B$50),IF(P42&lt;5,VLOOKUP(P42,Sheet3!$A$5:$I$50,6,0),Sheet3!$F$50))</f>
        <v>0.64500000000000002</v>
      </c>
      <c r="Q43" s="422">
        <f>IF(Q45=0.25,IF(Q42&lt;5,VLOOKUP(Q42,Sheet3!$A$5:$I$50,2,0),Sheet3!$B$50),IF(Q42&lt;5,VLOOKUP(Q42,Sheet3!$A$5:$I$50,6,0),Sheet3!$F$50))</f>
        <v>0.64500000000000002</v>
      </c>
      <c r="R43" s="422">
        <f>IF(R45=0.25,IF(R42&lt;5,VLOOKUP(R42,Sheet3!$A$5:$I$50,2,0),Sheet3!$B$50),IF(R42&lt;5,VLOOKUP(R42,Sheet3!$A$5:$I$50,6,0),Sheet3!$F$50))</f>
        <v>0.64500000000000002</v>
      </c>
      <c r="S43" s="464">
        <f>IF(S45=0.25,IF(S42&lt;5,VLOOKUP(S42,Sheet3!$A$5:$I$50,2,0),Sheet3!$B$50),IF(S42&lt;5,VLOOKUP(S42,Sheet3!$A$5:$I$50,6,0),Sheet3!$F$50))</f>
        <v>0.64500000000000002</v>
      </c>
    </row>
    <row r="44" spans="2:19" ht="12.95" customHeight="1" x14ac:dyDescent="0.15">
      <c r="B44" s="549"/>
      <c r="C44" s="169" t="s">
        <v>299</v>
      </c>
      <c r="D44" s="170"/>
      <c r="E44" s="462">
        <f>IF(E45=0.25,IF(E42&lt;5,VLOOKUP(E42,Sheet3!$A$5:$I$50,3,0),Sheet3!$C$50),IF(E42&lt;5,VLOOKUP(E42,Sheet3!$A$5:$I$50,7,0),Sheet3!$G$50))</f>
        <v>0</v>
      </c>
      <c r="F44" s="422">
        <f>IF(F45=0.25,IF(F42&lt;5,VLOOKUP(F42,Sheet3!$A$5:$I$50,3,0),Sheet3!$C$50),IF(F42&lt;5,VLOOKUP(F42,Sheet3!$A$5:$I$50,7,0),Sheet3!$G$50))</f>
        <v>0</v>
      </c>
      <c r="G44" s="422">
        <f>IF(G45=0.25,IF(G42&lt;5,VLOOKUP(G42,Sheet3!$A$5:$I$50,3,0),Sheet3!$C$50),IF(G42&lt;5,VLOOKUP(G42,Sheet3!$A$5:$I$50,7,0),Sheet3!$G$50))</f>
        <v>0</v>
      </c>
      <c r="H44" s="422">
        <f>IF(H45=0.25,IF(H42&lt;5,VLOOKUP(H42,Sheet3!$A$5:$I$50,3,0),Sheet3!$C$50),IF(H42&lt;5,VLOOKUP(H42,Sheet3!$A$5:$I$50,7,0),Sheet3!$G$50))</f>
        <v>0</v>
      </c>
      <c r="I44" s="422">
        <f>IF(I45=0.25,IF(I42&lt;5,VLOOKUP(I42,Sheet3!$A$5:$I$50,3,0),Sheet3!$C$50),IF(I42&lt;5,VLOOKUP(I42,Sheet3!$A$5:$I$50,7,0),Sheet3!$G$50))</f>
        <v>0</v>
      </c>
      <c r="J44" s="422">
        <f>IF(J45=0.25,IF(J42&lt;5,VLOOKUP(J42,Sheet3!$A$5:$I$50,3,0),Sheet3!$C$50),IF(J42&lt;5,VLOOKUP(J42,Sheet3!$A$5:$I$50,7,0),Sheet3!$G$50))</f>
        <v>0</v>
      </c>
      <c r="K44" s="422">
        <f>IF(K45=0.25,IF(K42&lt;5,VLOOKUP(K42,Sheet3!$A$5:$I$50,3,0),Sheet3!$C$50),IF(K42&lt;5,VLOOKUP(K42,Sheet3!$A$5:$I$50,7,0),Sheet3!$G$50))</f>
        <v>0</v>
      </c>
      <c r="L44" s="422">
        <f>IF(L45=0.25,IF(L42&lt;5,VLOOKUP(L42,Sheet3!$A$5:$I$50,3,0),Sheet3!$C$50),IF(L42&lt;5,VLOOKUP(L42,Sheet3!$A$5:$I$50,7,0),Sheet3!$G$50))</f>
        <v>0</v>
      </c>
      <c r="M44" s="422">
        <f>IF(M45=0.25,IF(M42&lt;5,VLOOKUP(M42,Sheet3!$A$5:$I$50,3,0),Sheet3!$C$50),IF(M42&lt;5,VLOOKUP(M42,Sheet3!$A$5:$I$50,7,0),Sheet3!$G$50))</f>
        <v>0</v>
      </c>
      <c r="N44" s="422">
        <f>IF(N45=0.25,IF(N42&lt;5,VLOOKUP(N42,Sheet3!$A$5:$I$50,3,0),Sheet3!$C$50),IF(N42&lt;5,VLOOKUP(N42,Sheet3!$A$5:$I$50,7,0),Sheet3!$G$50))</f>
        <v>0</v>
      </c>
      <c r="O44" s="422">
        <f>IF(O45=0.25,IF(O42&lt;5,VLOOKUP(O42,Sheet3!$A$5:$I$50,3,0),Sheet3!$C$50),IF(O42&lt;5,VLOOKUP(O42,Sheet3!$A$5:$I$50,7,0),Sheet3!$G$50))</f>
        <v>0</v>
      </c>
      <c r="P44" s="422">
        <f>IF(P45=0.25,IF(P42&lt;5,VLOOKUP(P42,Sheet3!$A$5:$I$50,3,0),Sheet3!$C$50),IF(P42&lt;5,VLOOKUP(P42,Sheet3!$A$5:$I$50,7,0),Sheet3!$G$50))</f>
        <v>0</v>
      </c>
      <c r="Q44" s="422">
        <f>IF(Q45=0.25,IF(Q42&lt;5,VLOOKUP(Q42,Sheet3!$A$5:$I$50,3,0),Sheet3!$C$50),IF(Q42&lt;5,VLOOKUP(Q42,Sheet3!$A$5:$I$50,7,0),Sheet3!$G$50))</f>
        <v>0</v>
      </c>
      <c r="R44" s="422">
        <f>IF(R45=0.25,IF(R42&lt;5,VLOOKUP(R42,Sheet3!$A$5:$I$50,3,0),Sheet3!$C$50),IF(R42&lt;5,VLOOKUP(R42,Sheet3!$A$5:$I$50,7,0),Sheet3!$G$50))</f>
        <v>0</v>
      </c>
      <c r="S44" s="464">
        <f>IF(S45=0.25,IF(S42&lt;5,VLOOKUP(S42,Sheet3!$A$5:$I$50,3,0),Sheet3!$C$50),IF(S42&lt;5,VLOOKUP(S42,Sheet3!$A$5:$I$50,7,0),Sheet3!$G$50))</f>
        <v>0</v>
      </c>
    </row>
    <row r="45" spans="2:19" ht="12.95" customHeight="1" x14ac:dyDescent="0.15">
      <c r="B45" s="549"/>
      <c r="C45" s="169" t="s">
        <v>301</v>
      </c>
      <c r="D45" s="170"/>
      <c r="E45" s="343">
        <v>0</v>
      </c>
      <c r="F45" s="346">
        <v>0</v>
      </c>
      <c r="G45" s="346">
        <v>0</v>
      </c>
      <c r="H45" s="346">
        <v>0</v>
      </c>
      <c r="I45" s="346">
        <v>0</v>
      </c>
      <c r="J45" s="346">
        <v>0</v>
      </c>
      <c r="K45" s="346">
        <v>0</v>
      </c>
      <c r="L45" s="346">
        <v>0</v>
      </c>
      <c r="M45" s="346">
        <v>0</v>
      </c>
      <c r="N45" s="346">
        <v>0</v>
      </c>
      <c r="O45" s="346">
        <v>0</v>
      </c>
      <c r="P45" s="346">
        <v>0</v>
      </c>
      <c r="Q45" s="346">
        <v>0</v>
      </c>
      <c r="R45" s="346">
        <v>0</v>
      </c>
      <c r="S45" s="440">
        <v>0</v>
      </c>
    </row>
    <row r="46" spans="2:19" ht="12.95" customHeight="1" x14ac:dyDescent="0.15">
      <c r="B46" s="549"/>
      <c r="C46" s="169" t="s">
        <v>303</v>
      </c>
      <c r="D46" s="170" t="s">
        <v>304</v>
      </c>
      <c r="E46" s="456">
        <f t="shared" ref="E46:S46" si="21">ROUNDDOWN(E20/2/E40*E43,2)</f>
        <v>9.83</v>
      </c>
      <c r="F46" s="417">
        <f t="shared" si="21"/>
        <v>9.85</v>
      </c>
      <c r="G46" s="417">
        <f t="shared" si="21"/>
        <v>9.85</v>
      </c>
      <c r="H46" s="417">
        <f t="shared" si="21"/>
        <v>9.85</v>
      </c>
      <c r="I46" s="417">
        <f t="shared" si="21"/>
        <v>6.56</v>
      </c>
      <c r="J46" s="417">
        <f t="shared" si="21"/>
        <v>9.85</v>
      </c>
      <c r="K46" s="417">
        <f t="shared" si="21"/>
        <v>9.85</v>
      </c>
      <c r="L46" s="417">
        <f t="shared" si="21"/>
        <v>6.56</v>
      </c>
      <c r="M46" s="417">
        <f t="shared" si="21"/>
        <v>9.85</v>
      </c>
      <c r="N46" s="417">
        <f t="shared" si="21"/>
        <v>9.85</v>
      </c>
      <c r="O46" s="417">
        <f t="shared" si="21"/>
        <v>6.56</v>
      </c>
      <c r="P46" s="417">
        <f t="shared" si="21"/>
        <v>9.85</v>
      </c>
      <c r="Q46" s="417">
        <f t="shared" si="21"/>
        <v>9.85</v>
      </c>
      <c r="R46" s="417">
        <f t="shared" si="21"/>
        <v>9.85</v>
      </c>
      <c r="S46" s="457">
        <f t="shared" si="21"/>
        <v>9.85</v>
      </c>
    </row>
    <row r="47" spans="2:19" ht="12.95" customHeight="1" x14ac:dyDescent="0.15">
      <c r="B47" s="549"/>
      <c r="C47" s="169" t="s">
        <v>306</v>
      </c>
      <c r="D47" s="170" t="s">
        <v>304</v>
      </c>
      <c r="E47" s="456">
        <f t="shared" ref="E47:S47" si="22">ROUNDDOWN(E20/2/E40*E44,2)</f>
        <v>0</v>
      </c>
      <c r="F47" s="417">
        <f t="shared" si="22"/>
        <v>0</v>
      </c>
      <c r="G47" s="417">
        <f t="shared" si="22"/>
        <v>0</v>
      </c>
      <c r="H47" s="417">
        <f t="shared" si="22"/>
        <v>0</v>
      </c>
      <c r="I47" s="417">
        <f t="shared" si="22"/>
        <v>0</v>
      </c>
      <c r="J47" s="417">
        <f t="shared" si="22"/>
        <v>0</v>
      </c>
      <c r="K47" s="417">
        <f t="shared" si="22"/>
        <v>0</v>
      </c>
      <c r="L47" s="417">
        <f t="shared" si="22"/>
        <v>0</v>
      </c>
      <c r="M47" s="417">
        <f t="shared" si="22"/>
        <v>0</v>
      </c>
      <c r="N47" s="417">
        <f t="shared" si="22"/>
        <v>0</v>
      </c>
      <c r="O47" s="417">
        <f t="shared" si="22"/>
        <v>0</v>
      </c>
      <c r="P47" s="417">
        <f t="shared" si="22"/>
        <v>0</v>
      </c>
      <c r="Q47" s="417">
        <f t="shared" si="22"/>
        <v>0</v>
      </c>
      <c r="R47" s="417">
        <f t="shared" si="22"/>
        <v>0</v>
      </c>
      <c r="S47" s="457">
        <f t="shared" si="22"/>
        <v>0</v>
      </c>
    </row>
    <row r="48" spans="2:19" ht="12.95" customHeight="1" x14ac:dyDescent="0.15">
      <c r="B48" s="545"/>
      <c r="C48" s="171" t="s">
        <v>308</v>
      </c>
      <c r="D48" s="172" t="s">
        <v>304</v>
      </c>
      <c r="E48" s="448">
        <f t="shared" ref="E48:S48" si="23">ROUNDDOWN(MAX(E46:E47),2)</f>
        <v>9.83</v>
      </c>
      <c r="F48" s="411">
        <f t="shared" si="23"/>
        <v>9.85</v>
      </c>
      <c r="G48" s="411">
        <f t="shared" si="23"/>
        <v>9.85</v>
      </c>
      <c r="H48" s="411">
        <f t="shared" si="23"/>
        <v>9.85</v>
      </c>
      <c r="I48" s="411">
        <f t="shared" si="23"/>
        <v>6.56</v>
      </c>
      <c r="J48" s="411">
        <f t="shared" si="23"/>
        <v>9.85</v>
      </c>
      <c r="K48" s="411">
        <f t="shared" si="23"/>
        <v>9.85</v>
      </c>
      <c r="L48" s="411">
        <f t="shared" si="23"/>
        <v>6.56</v>
      </c>
      <c r="M48" s="411">
        <f t="shared" si="23"/>
        <v>9.85</v>
      </c>
      <c r="N48" s="411">
        <f t="shared" si="23"/>
        <v>9.85</v>
      </c>
      <c r="O48" s="411">
        <f t="shared" si="23"/>
        <v>6.56</v>
      </c>
      <c r="P48" s="411">
        <f t="shared" si="23"/>
        <v>9.85</v>
      </c>
      <c r="Q48" s="411">
        <f t="shared" si="23"/>
        <v>9.85</v>
      </c>
      <c r="R48" s="411">
        <f t="shared" si="23"/>
        <v>9.85</v>
      </c>
      <c r="S48" s="449">
        <f t="shared" si="23"/>
        <v>9.85</v>
      </c>
    </row>
    <row r="49" spans="2:19" ht="12.95" customHeight="1" x14ac:dyDescent="0.15">
      <c r="B49" s="574" t="s">
        <v>311</v>
      </c>
      <c r="C49" s="168" t="s">
        <v>312</v>
      </c>
      <c r="D49" s="240" t="s">
        <v>126</v>
      </c>
      <c r="E49" s="465">
        <f>E11/E19</f>
        <v>154.69999999999999</v>
      </c>
      <c r="F49" s="425">
        <f t="shared" ref="F49:S49" si="24">+F11/F19</f>
        <v>236.3</v>
      </c>
      <c r="G49" s="425">
        <f t="shared" si="24"/>
        <v>120.75</v>
      </c>
      <c r="H49" s="425">
        <f t="shared" si="24"/>
        <v>243.65</v>
      </c>
      <c r="I49" s="425">
        <f t="shared" si="24"/>
        <v>221.83333333333334</v>
      </c>
      <c r="J49" s="425">
        <f t="shared" si="24"/>
        <v>195.15</v>
      </c>
      <c r="K49" s="425">
        <f t="shared" si="24"/>
        <v>228.25</v>
      </c>
      <c r="L49" s="425">
        <f t="shared" si="24"/>
        <v>208.73333333333335</v>
      </c>
      <c r="M49" s="425">
        <f t="shared" si="24"/>
        <v>180.2</v>
      </c>
      <c r="N49" s="425">
        <f t="shared" si="24"/>
        <v>229.7</v>
      </c>
      <c r="O49" s="425">
        <f t="shared" si="24"/>
        <v>218.03333333333333</v>
      </c>
      <c r="P49" s="425">
        <f t="shared" si="24"/>
        <v>210.1</v>
      </c>
      <c r="Q49" s="425">
        <f t="shared" si="24"/>
        <v>143.69999999999999</v>
      </c>
      <c r="R49" s="425">
        <f t="shared" si="24"/>
        <v>213.55</v>
      </c>
      <c r="S49" s="466">
        <f t="shared" si="24"/>
        <v>111.5</v>
      </c>
    </row>
    <row r="50" spans="2:19" ht="12.95" customHeight="1" x14ac:dyDescent="0.15">
      <c r="B50" s="563"/>
      <c r="C50" s="169" t="s">
        <v>315</v>
      </c>
      <c r="D50" s="170" t="s">
        <v>31</v>
      </c>
      <c r="E50" s="467">
        <f t="shared" ref="E50:S50" si="25">(E49/E56)+E48/(2*E39/E27)</f>
        <v>297.27628001950927</v>
      </c>
      <c r="F50" s="426">
        <f t="shared" si="25"/>
        <v>401.37670850255159</v>
      </c>
      <c r="G50" s="426">
        <f t="shared" si="25"/>
        <v>254.25387910840354</v>
      </c>
      <c r="H50" s="426">
        <f t="shared" si="25"/>
        <v>410.73501915635507</v>
      </c>
      <c r="I50" s="426">
        <f t="shared" si="25"/>
        <v>349.38574785062104</v>
      </c>
      <c r="J50" s="426">
        <f t="shared" si="25"/>
        <v>348.98290123669966</v>
      </c>
      <c r="K50" s="426">
        <f t="shared" si="25"/>
        <v>391.12713016743356</v>
      </c>
      <c r="L50" s="426">
        <f t="shared" si="25"/>
        <v>332.70630981459044</v>
      </c>
      <c r="M50" s="426">
        <f t="shared" si="25"/>
        <v>329.94797004290899</v>
      </c>
      <c r="N50" s="426">
        <f t="shared" si="25"/>
        <v>392.97332750729953</v>
      </c>
      <c r="O50" s="426">
        <f t="shared" si="25"/>
        <v>344.54743758062739</v>
      </c>
      <c r="P50" s="426">
        <f t="shared" si="25"/>
        <v>368.01783243049033</v>
      </c>
      <c r="Q50" s="426">
        <f t="shared" si="25"/>
        <v>283.47472666007553</v>
      </c>
      <c r="R50" s="426">
        <f t="shared" si="25"/>
        <v>372.41050885982668</v>
      </c>
      <c r="S50" s="468">
        <f t="shared" si="25"/>
        <v>242.4764133196033</v>
      </c>
    </row>
    <row r="51" spans="2:19" ht="12.95" customHeight="1" x14ac:dyDescent="0.15">
      <c r="B51" s="563"/>
      <c r="C51" s="169" t="s">
        <v>159</v>
      </c>
      <c r="D51" s="170" t="s">
        <v>31</v>
      </c>
      <c r="E51" s="467">
        <f t="shared" ref="E51:S51" si="26">2/3*E37</f>
        <v>533.33333333333326</v>
      </c>
      <c r="F51" s="427">
        <f t="shared" si="26"/>
        <v>533.33333333333326</v>
      </c>
      <c r="G51" s="427">
        <f t="shared" si="26"/>
        <v>533.33333333333326</v>
      </c>
      <c r="H51" s="427">
        <f t="shared" si="26"/>
        <v>533.33333333333326</v>
      </c>
      <c r="I51" s="427">
        <f t="shared" si="26"/>
        <v>533.33333333333326</v>
      </c>
      <c r="J51" s="427">
        <f t="shared" si="26"/>
        <v>533.33333333333326</v>
      </c>
      <c r="K51" s="427">
        <f t="shared" si="26"/>
        <v>533.33333333333326</v>
      </c>
      <c r="L51" s="427">
        <f t="shared" si="26"/>
        <v>533.33333333333326</v>
      </c>
      <c r="M51" s="427">
        <f t="shared" si="26"/>
        <v>533.33333333333326</v>
      </c>
      <c r="N51" s="427">
        <f t="shared" si="26"/>
        <v>533.33333333333326</v>
      </c>
      <c r="O51" s="427">
        <f t="shared" si="26"/>
        <v>533.33333333333326</v>
      </c>
      <c r="P51" s="427">
        <f t="shared" si="26"/>
        <v>533.33333333333326</v>
      </c>
      <c r="Q51" s="427">
        <f t="shared" si="26"/>
        <v>533.33333333333326</v>
      </c>
      <c r="R51" s="427">
        <f t="shared" si="26"/>
        <v>533.33333333333326</v>
      </c>
      <c r="S51" s="469">
        <f t="shared" si="26"/>
        <v>533.33333333333326</v>
      </c>
    </row>
    <row r="52" spans="2:19" ht="12.95" customHeight="1" x14ac:dyDescent="0.15">
      <c r="B52" s="563"/>
      <c r="C52" s="169" t="s">
        <v>319</v>
      </c>
      <c r="D52" s="170"/>
      <c r="E52" s="470" t="str">
        <f t="shared" ref="E52:S52" si="27">IF(E51&gt;E50,"OK","NG")</f>
        <v>OK</v>
      </c>
      <c r="F52" s="429" t="str">
        <f t="shared" si="27"/>
        <v>OK</v>
      </c>
      <c r="G52" s="429" t="str">
        <f t="shared" si="27"/>
        <v>OK</v>
      </c>
      <c r="H52" s="429" t="str">
        <f t="shared" si="27"/>
        <v>OK</v>
      </c>
      <c r="I52" s="429" t="str">
        <f t="shared" si="27"/>
        <v>OK</v>
      </c>
      <c r="J52" s="429" t="str">
        <f t="shared" si="27"/>
        <v>OK</v>
      </c>
      <c r="K52" s="429" t="str">
        <f t="shared" si="27"/>
        <v>OK</v>
      </c>
      <c r="L52" s="429" t="str">
        <f t="shared" si="27"/>
        <v>OK</v>
      </c>
      <c r="M52" s="429" t="str">
        <f t="shared" si="27"/>
        <v>OK</v>
      </c>
      <c r="N52" s="429" t="str">
        <f t="shared" si="27"/>
        <v>OK</v>
      </c>
      <c r="O52" s="429" t="str">
        <f t="shared" si="27"/>
        <v>OK</v>
      </c>
      <c r="P52" s="429" t="str">
        <f t="shared" si="27"/>
        <v>OK</v>
      </c>
      <c r="Q52" s="429" t="str">
        <f t="shared" si="27"/>
        <v>OK</v>
      </c>
      <c r="R52" s="429" t="str">
        <f t="shared" si="27"/>
        <v>OK</v>
      </c>
      <c r="S52" s="471" t="str">
        <f t="shared" si="27"/>
        <v>OK</v>
      </c>
    </row>
    <row r="53" spans="2:19" ht="12.95" customHeight="1" x14ac:dyDescent="0.15">
      <c r="B53" s="563"/>
      <c r="C53" s="169" t="s">
        <v>320</v>
      </c>
      <c r="D53" s="170" t="s">
        <v>31</v>
      </c>
      <c r="E53" s="467">
        <f t="shared" ref="E53:S53" si="28">(E49/E56)-E48/(2*E39/E27)</f>
        <v>96.664035121550071</v>
      </c>
      <c r="F53" s="427">
        <f t="shared" si="28"/>
        <v>200.35630033928629</v>
      </c>
      <c r="G53" s="427">
        <f t="shared" si="28"/>
        <v>53.233470945138237</v>
      </c>
      <c r="H53" s="427">
        <f t="shared" si="28"/>
        <v>209.71461099308976</v>
      </c>
      <c r="I53" s="427">
        <f t="shared" si="28"/>
        <v>215.50819683021285</v>
      </c>
      <c r="J53" s="427">
        <f t="shared" si="28"/>
        <v>147.96249307343436</v>
      </c>
      <c r="K53" s="427">
        <f t="shared" si="28"/>
        <v>190.10672200416826</v>
      </c>
      <c r="L53" s="427">
        <f t="shared" si="28"/>
        <v>198.82875879418225</v>
      </c>
      <c r="M53" s="427">
        <f t="shared" si="28"/>
        <v>128.92756187964366</v>
      </c>
      <c r="N53" s="427">
        <f t="shared" si="28"/>
        <v>191.95291934403423</v>
      </c>
      <c r="O53" s="427">
        <f t="shared" si="28"/>
        <v>210.6698865602192</v>
      </c>
      <c r="P53" s="427">
        <f t="shared" si="28"/>
        <v>166.99742426722503</v>
      </c>
      <c r="Q53" s="427">
        <f t="shared" si="28"/>
        <v>82.454318496810231</v>
      </c>
      <c r="R53" s="427">
        <f t="shared" si="28"/>
        <v>171.39010069656138</v>
      </c>
      <c r="S53" s="469">
        <f t="shared" si="28"/>
        <v>41.456005156337994</v>
      </c>
    </row>
    <row r="54" spans="2:19" ht="12.95" customHeight="1" x14ac:dyDescent="0.15">
      <c r="B54" s="563"/>
      <c r="C54" s="169" t="s">
        <v>322</v>
      </c>
      <c r="D54" s="170" t="s">
        <v>31</v>
      </c>
      <c r="E54" s="467">
        <f t="shared" ref="E54:S54" si="29">-0.2*E51</f>
        <v>-106.66666666666666</v>
      </c>
      <c r="F54" s="427">
        <f t="shared" si="29"/>
        <v>-106.66666666666666</v>
      </c>
      <c r="G54" s="427">
        <f t="shared" si="29"/>
        <v>-106.66666666666666</v>
      </c>
      <c r="H54" s="427">
        <f t="shared" si="29"/>
        <v>-106.66666666666666</v>
      </c>
      <c r="I54" s="427">
        <f t="shared" si="29"/>
        <v>-106.66666666666666</v>
      </c>
      <c r="J54" s="427">
        <f t="shared" si="29"/>
        <v>-106.66666666666666</v>
      </c>
      <c r="K54" s="427">
        <f t="shared" si="29"/>
        <v>-106.66666666666666</v>
      </c>
      <c r="L54" s="427">
        <f t="shared" si="29"/>
        <v>-106.66666666666666</v>
      </c>
      <c r="M54" s="427">
        <f t="shared" si="29"/>
        <v>-106.66666666666666</v>
      </c>
      <c r="N54" s="427">
        <f t="shared" si="29"/>
        <v>-106.66666666666666</v>
      </c>
      <c r="O54" s="427">
        <f t="shared" si="29"/>
        <v>-106.66666666666666</v>
      </c>
      <c r="P54" s="427">
        <f t="shared" si="29"/>
        <v>-106.66666666666666</v>
      </c>
      <c r="Q54" s="427">
        <f t="shared" si="29"/>
        <v>-106.66666666666666</v>
      </c>
      <c r="R54" s="427">
        <f t="shared" si="29"/>
        <v>-106.66666666666666</v>
      </c>
      <c r="S54" s="469">
        <f t="shared" si="29"/>
        <v>-106.66666666666666</v>
      </c>
    </row>
    <row r="55" spans="2:19" ht="12.95" customHeight="1" x14ac:dyDescent="0.15">
      <c r="B55" s="564"/>
      <c r="C55" s="171" t="s">
        <v>324</v>
      </c>
      <c r="D55" s="172"/>
      <c r="E55" s="472" t="str">
        <f t="shared" ref="E55:S55" si="30">IF(E53&gt;E54,"OK","NG")</f>
        <v>OK</v>
      </c>
      <c r="F55" s="431" t="str">
        <f t="shared" si="30"/>
        <v>OK</v>
      </c>
      <c r="G55" s="431" t="str">
        <f t="shared" si="30"/>
        <v>OK</v>
      </c>
      <c r="H55" s="431" t="str">
        <f t="shared" si="30"/>
        <v>OK</v>
      </c>
      <c r="I55" s="431" t="str">
        <f t="shared" si="30"/>
        <v>OK</v>
      </c>
      <c r="J55" s="431" t="str">
        <f t="shared" si="30"/>
        <v>OK</v>
      </c>
      <c r="K55" s="431" t="str">
        <f t="shared" si="30"/>
        <v>OK</v>
      </c>
      <c r="L55" s="431" t="str">
        <f t="shared" si="30"/>
        <v>OK</v>
      </c>
      <c r="M55" s="431" t="str">
        <f t="shared" si="30"/>
        <v>OK</v>
      </c>
      <c r="N55" s="431" t="str">
        <f t="shared" si="30"/>
        <v>OK</v>
      </c>
      <c r="O55" s="431" t="str">
        <f t="shared" si="30"/>
        <v>OK</v>
      </c>
      <c r="P55" s="431" t="str">
        <f t="shared" si="30"/>
        <v>OK</v>
      </c>
      <c r="Q55" s="431" t="str">
        <f t="shared" si="30"/>
        <v>OK</v>
      </c>
      <c r="R55" s="431" t="str">
        <f t="shared" si="30"/>
        <v>OK</v>
      </c>
      <c r="S55" s="473" t="str">
        <f t="shared" si="30"/>
        <v>OK</v>
      </c>
    </row>
    <row r="56" spans="2:19" ht="12.95" customHeight="1" x14ac:dyDescent="0.15">
      <c r="B56" s="574" t="s">
        <v>326</v>
      </c>
      <c r="C56" s="168" t="s">
        <v>65</v>
      </c>
      <c r="D56" s="240" t="s">
        <v>66</v>
      </c>
      <c r="E56" s="474">
        <f t="shared" ref="E56:S56" si="31">(E26/2)^2*PI()</f>
        <v>0.78539816339744828</v>
      </c>
      <c r="F56" s="433">
        <f t="shared" si="31"/>
        <v>0.78539816339744828</v>
      </c>
      <c r="G56" s="433">
        <f t="shared" si="31"/>
        <v>0.78539816339744828</v>
      </c>
      <c r="H56" s="433">
        <f t="shared" si="31"/>
        <v>0.78539816339744828</v>
      </c>
      <c r="I56" s="433">
        <f t="shared" si="31"/>
        <v>0.78539816339744828</v>
      </c>
      <c r="J56" s="433">
        <f t="shared" si="31"/>
        <v>0.78539816339744828</v>
      </c>
      <c r="K56" s="433">
        <f t="shared" si="31"/>
        <v>0.78539816339744828</v>
      </c>
      <c r="L56" s="433">
        <f t="shared" si="31"/>
        <v>0.78539816339744828</v>
      </c>
      <c r="M56" s="433">
        <f t="shared" si="31"/>
        <v>0.78539816339744828</v>
      </c>
      <c r="N56" s="433">
        <f t="shared" si="31"/>
        <v>0.78539816339744828</v>
      </c>
      <c r="O56" s="433">
        <f t="shared" si="31"/>
        <v>0.78539816339744828</v>
      </c>
      <c r="P56" s="433">
        <f t="shared" si="31"/>
        <v>0.78539816339744828</v>
      </c>
      <c r="Q56" s="433">
        <f t="shared" si="31"/>
        <v>0.78539816339744828</v>
      </c>
      <c r="R56" s="433">
        <f t="shared" si="31"/>
        <v>0.78539816339744828</v>
      </c>
      <c r="S56" s="475">
        <f t="shared" si="31"/>
        <v>0.78539816339744828</v>
      </c>
    </row>
    <row r="57" spans="2:19" ht="12.95" customHeight="1" x14ac:dyDescent="0.15">
      <c r="B57" s="563"/>
      <c r="C57" s="169" t="s">
        <v>329</v>
      </c>
      <c r="D57" s="170" t="s">
        <v>31</v>
      </c>
      <c r="E57" s="467">
        <f t="shared" ref="E57:S57" si="32">E20/E56</f>
        <v>22.168830306762292</v>
      </c>
      <c r="F57" s="427">
        <f t="shared" si="32"/>
        <v>22.168830306762292</v>
      </c>
      <c r="G57" s="427">
        <f t="shared" si="32"/>
        <v>22.168830306762292</v>
      </c>
      <c r="H57" s="427">
        <f t="shared" si="32"/>
        <v>22.168830306762292</v>
      </c>
      <c r="I57" s="427">
        <f t="shared" si="32"/>
        <v>14.779220204508194</v>
      </c>
      <c r="J57" s="427">
        <f t="shared" si="32"/>
        <v>22.168830306762292</v>
      </c>
      <c r="K57" s="427">
        <f t="shared" si="32"/>
        <v>22.168830306762292</v>
      </c>
      <c r="L57" s="427">
        <f t="shared" si="32"/>
        <v>14.779220204508194</v>
      </c>
      <c r="M57" s="427">
        <f t="shared" si="32"/>
        <v>22.168830306762292</v>
      </c>
      <c r="N57" s="427">
        <f t="shared" si="32"/>
        <v>22.168830306762292</v>
      </c>
      <c r="O57" s="427">
        <f t="shared" si="32"/>
        <v>14.779220204508194</v>
      </c>
      <c r="P57" s="427">
        <f t="shared" si="32"/>
        <v>22.168830306762292</v>
      </c>
      <c r="Q57" s="427">
        <f t="shared" si="32"/>
        <v>22.168830306762292</v>
      </c>
      <c r="R57" s="427">
        <f t="shared" si="32"/>
        <v>22.168830306762292</v>
      </c>
      <c r="S57" s="469">
        <f t="shared" si="32"/>
        <v>22.168830306762292</v>
      </c>
    </row>
    <row r="58" spans="2:19" ht="12.95" customHeight="1" x14ac:dyDescent="0.15">
      <c r="B58" s="563"/>
      <c r="C58" s="169" t="s">
        <v>331</v>
      </c>
      <c r="D58" s="170" t="s">
        <v>31</v>
      </c>
      <c r="E58" s="467">
        <f t="shared" ref="E58:S58" si="33">MIN((0.3*E37+E57*TAN(30*PI()/180)),0.5*E37)</f>
        <v>252.79918014522835</v>
      </c>
      <c r="F58" s="427">
        <f t="shared" si="33"/>
        <v>252.79918014522835</v>
      </c>
      <c r="G58" s="427">
        <f t="shared" si="33"/>
        <v>252.79918014522835</v>
      </c>
      <c r="H58" s="427">
        <f t="shared" si="33"/>
        <v>252.79918014522835</v>
      </c>
      <c r="I58" s="427">
        <f t="shared" si="33"/>
        <v>248.53278676348555</v>
      </c>
      <c r="J58" s="427">
        <f t="shared" si="33"/>
        <v>252.79918014522835</v>
      </c>
      <c r="K58" s="427">
        <f t="shared" si="33"/>
        <v>252.79918014522835</v>
      </c>
      <c r="L58" s="427">
        <f t="shared" si="33"/>
        <v>248.53278676348555</v>
      </c>
      <c r="M58" s="427">
        <f t="shared" si="33"/>
        <v>252.79918014522835</v>
      </c>
      <c r="N58" s="427">
        <f t="shared" si="33"/>
        <v>252.79918014522835</v>
      </c>
      <c r="O58" s="427">
        <f t="shared" si="33"/>
        <v>248.53278676348555</v>
      </c>
      <c r="P58" s="427">
        <f t="shared" si="33"/>
        <v>252.79918014522835</v>
      </c>
      <c r="Q58" s="427">
        <f t="shared" si="33"/>
        <v>252.79918014522835</v>
      </c>
      <c r="R58" s="427">
        <f t="shared" si="33"/>
        <v>252.79918014522835</v>
      </c>
      <c r="S58" s="469">
        <f t="shared" si="33"/>
        <v>252.79918014522835</v>
      </c>
    </row>
    <row r="59" spans="2:19" ht="12.95" customHeight="1" x14ac:dyDescent="0.15">
      <c r="B59" s="563"/>
      <c r="C59" s="169" t="s">
        <v>333</v>
      </c>
      <c r="D59" s="170" t="s">
        <v>31</v>
      </c>
      <c r="E59" s="467">
        <f t="shared" ref="E59:S59" si="34">2/3*E58</f>
        <v>168.53278676348555</v>
      </c>
      <c r="F59" s="427">
        <f t="shared" si="34"/>
        <v>168.53278676348555</v>
      </c>
      <c r="G59" s="427">
        <f t="shared" si="34"/>
        <v>168.53278676348555</v>
      </c>
      <c r="H59" s="427">
        <f t="shared" si="34"/>
        <v>168.53278676348555</v>
      </c>
      <c r="I59" s="427">
        <f t="shared" si="34"/>
        <v>165.68852450899035</v>
      </c>
      <c r="J59" s="427">
        <f t="shared" si="34"/>
        <v>168.53278676348555</v>
      </c>
      <c r="K59" s="427">
        <f t="shared" si="34"/>
        <v>168.53278676348555</v>
      </c>
      <c r="L59" s="427">
        <f t="shared" si="34"/>
        <v>165.68852450899035</v>
      </c>
      <c r="M59" s="427">
        <f t="shared" si="34"/>
        <v>168.53278676348555</v>
      </c>
      <c r="N59" s="427">
        <f t="shared" si="34"/>
        <v>168.53278676348555</v>
      </c>
      <c r="O59" s="427">
        <f t="shared" si="34"/>
        <v>165.68852450899035</v>
      </c>
      <c r="P59" s="427">
        <f t="shared" si="34"/>
        <v>168.53278676348555</v>
      </c>
      <c r="Q59" s="427">
        <f t="shared" si="34"/>
        <v>168.53278676348555</v>
      </c>
      <c r="R59" s="427">
        <f t="shared" si="34"/>
        <v>168.53278676348555</v>
      </c>
      <c r="S59" s="469">
        <f t="shared" si="34"/>
        <v>168.53278676348555</v>
      </c>
    </row>
    <row r="60" spans="2:19" ht="12.95" customHeight="1" x14ac:dyDescent="0.15">
      <c r="B60" s="563"/>
      <c r="C60" s="169" t="s">
        <v>334</v>
      </c>
      <c r="D60" s="170" t="s">
        <v>31</v>
      </c>
      <c r="E60" s="467">
        <f t="shared" ref="E60:S60" si="35">4/3*(E20/E56)</f>
        <v>29.558440409016388</v>
      </c>
      <c r="F60" s="427">
        <f t="shared" si="35"/>
        <v>29.558440409016388</v>
      </c>
      <c r="G60" s="427">
        <f t="shared" si="35"/>
        <v>29.558440409016388</v>
      </c>
      <c r="H60" s="427">
        <f t="shared" si="35"/>
        <v>29.558440409016388</v>
      </c>
      <c r="I60" s="427">
        <f t="shared" si="35"/>
        <v>19.705626939344256</v>
      </c>
      <c r="J60" s="427">
        <f t="shared" si="35"/>
        <v>29.558440409016388</v>
      </c>
      <c r="K60" s="427">
        <f t="shared" si="35"/>
        <v>29.558440409016388</v>
      </c>
      <c r="L60" s="427">
        <f t="shared" si="35"/>
        <v>19.705626939344256</v>
      </c>
      <c r="M60" s="427">
        <f t="shared" si="35"/>
        <v>29.558440409016388</v>
      </c>
      <c r="N60" s="427">
        <f t="shared" si="35"/>
        <v>29.558440409016388</v>
      </c>
      <c r="O60" s="427">
        <f t="shared" si="35"/>
        <v>19.705626939344256</v>
      </c>
      <c r="P60" s="427">
        <f t="shared" si="35"/>
        <v>29.558440409016388</v>
      </c>
      <c r="Q60" s="427">
        <f t="shared" si="35"/>
        <v>29.558440409016388</v>
      </c>
      <c r="R60" s="427">
        <f t="shared" si="35"/>
        <v>29.558440409016388</v>
      </c>
      <c r="S60" s="469">
        <f t="shared" si="35"/>
        <v>29.558440409016388</v>
      </c>
    </row>
    <row r="61" spans="2:19" ht="12.95" customHeight="1" x14ac:dyDescent="0.15">
      <c r="B61" s="564"/>
      <c r="C61" s="171" t="s">
        <v>336</v>
      </c>
      <c r="D61" s="172"/>
      <c r="E61" s="472" t="str">
        <f t="shared" ref="E61:S61" si="36">IF(E59&gt;E60,"OK","NG")</f>
        <v>OK</v>
      </c>
      <c r="F61" s="431" t="str">
        <f t="shared" si="36"/>
        <v>OK</v>
      </c>
      <c r="G61" s="431" t="str">
        <f t="shared" si="36"/>
        <v>OK</v>
      </c>
      <c r="H61" s="431" t="str">
        <f t="shared" si="36"/>
        <v>OK</v>
      </c>
      <c r="I61" s="431" t="str">
        <f t="shared" si="36"/>
        <v>OK</v>
      </c>
      <c r="J61" s="431" t="str">
        <f t="shared" si="36"/>
        <v>OK</v>
      </c>
      <c r="K61" s="431" t="str">
        <f t="shared" si="36"/>
        <v>OK</v>
      </c>
      <c r="L61" s="431" t="str">
        <f t="shared" si="36"/>
        <v>OK</v>
      </c>
      <c r="M61" s="431" t="str">
        <f t="shared" si="36"/>
        <v>OK</v>
      </c>
      <c r="N61" s="431" t="str">
        <f t="shared" si="36"/>
        <v>OK</v>
      </c>
      <c r="O61" s="431" t="str">
        <f t="shared" si="36"/>
        <v>OK</v>
      </c>
      <c r="P61" s="431" t="str">
        <f t="shared" si="36"/>
        <v>OK</v>
      </c>
      <c r="Q61" s="431" t="str">
        <f t="shared" si="36"/>
        <v>OK</v>
      </c>
      <c r="R61" s="431" t="str">
        <f t="shared" si="36"/>
        <v>OK</v>
      </c>
      <c r="S61" s="473" t="str">
        <f t="shared" si="36"/>
        <v>OK</v>
      </c>
    </row>
    <row r="62" spans="2:19" ht="12" customHeight="1" x14ac:dyDescent="0.15"/>
    <row r="63" spans="2:19" ht="12" customHeight="1" x14ac:dyDescent="0.15"/>
    <row r="64" spans="2:19"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S52">
    <cfRule type="cellIs" dxfId="9" priority="1" stopIfTrue="1" operator="equal">
      <formula>"NG"</formula>
    </cfRule>
  </conditionalFormatting>
  <conditionalFormatting sqref="E55:S55 E61:S61">
    <cfRule type="cellIs" dxfId="8" priority="2" stopIfTrue="1" operator="equal">
      <formula>"NG"</formula>
    </cfRule>
  </conditionalFormatting>
  <pageMargins left="0.25" right="0.25" top="0.75" bottom="0.75" header="0.3" footer="0.3"/>
  <pageSetup paperSize="9" fitToWidth="2" orientation="portrait" blackAndWhite="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65"/>
  <sheetViews>
    <sheetView topLeftCell="A19" zoomScale="85" zoomScaleNormal="85" zoomScaleSheetLayoutView="100" workbookViewId="0">
      <selection activeCell="I30" sqref="I30"/>
    </sheetView>
  </sheetViews>
  <sheetFormatPr defaultRowHeight="14.25" x14ac:dyDescent="0.15"/>
  <cols>
    <col min="1" max="1" width="4.625" style="173" customWidth="1"/>
    <col min="2" max="19" width="9.625" style="173" customWidth="1"/>
    <col min="20" max="35" width="9" style="173" customWidth="1"/>
    <col min="36" max="16384" width="9" style="173"/>
  </cols>
  <sheetData>
    <row r="1" spans="2:19" ht="12.95" customHeight="1" x14ac:dyDescent="0.15">
      <c r="B1" s="173" t="s">
        <v>233</v>
      </c>
    </row>
    <row r="2" spans="2:19" ht="12.95" customHeight="1" x14ac:dyDescent="0.15"/>
    <row r="3" spans="2:19" ht="12.95" customHeight="1" x14ac:dyDescent="0.15">
      <c r="C3" s="160" t="s">
        <v>359</v>
      </c>
      <c r="D3" s="396">
        <f>+'L+Ex'!D3</f>
        <v>481.9</v>
      </c>
      <c r="E3" s="173" t="s">
        <v>360</v>
      </c>
      <c r="G3" s="160" t="s">
        <v>361</v>
      </c>
      <c r="H3" s="397">
        <v>0.1</v>
      </c>
      <c r="I3" s="398"/>
    </row>
    <row r="4" spans="2:19" ht="12.95" customHeight="1" x14ac:dyDescent="0.15">
      <c r="C4" s="160" t="s">
        <v>362</v>
      </c>
      <c r="D4" s="396">
        <f>+H6</f>
        <v>247.52000000000004</v>
      </c>
      <c r="E4" s="173" t="s">
        <v>358</v>
      </c>
      <c r="G4" s="160" t="s">
        <v>363</v>
      </c>
      <c r="H4" s="397">
        <v>0.8</v>
      </c>
      <c r="I4" s="161"/>
    </row>
    <row r="5" spans="2:19" ht="12.95" customHeight="1" x14ac:dyDescent="0.15">
      <c r="C5" s="160" t="s">
        <v>364</v>
      </c>
      <c r="D5" s="399">
        <f>SUM(D3:D4)</f>
        <v>729.42000000000007</v>
      </c>
      <c r="E5" s="173" t="s">
        <v>358</v>
      </c>
      <c r="G5" s="160" t="s">
        <v>365</v>
      </c>
      <c r="H5" s="397">
        <f>+'L+Ex'!H5</f>
        <v>3094</v>
      </c>
      <c r="I5" s="161" t="s">
        <v>358</v>
      </c>
    </row>
    <row r="6" spans="2:19" ht="12.95" customHeight="1" x14ac:dyDescent="0.15">
      <c r="G6" s="160" t="s">
        <v>366</v>
      </c>
      <c r="H6" s="400">
        <f>H3*H4*H5</f>
        <v>247.52000000000004</v>
      </c>
      <c r="I6" s="162" t="s">
        <v>358</v>
      </c>
    </row>
    <row r="7" spans="2:19" ht="12.95" customHeight="1" x14ac:dyDescent="0.15"/>
    <row r="8" spans="2:19" s="230" customFormat="1" ht="12.95" customHeight="1" x14ac:dyDescent="0.15">
      <c r="B8" s="580" t="s">
        <v>5</v>
      </c>
      <c r="C8" s="567"/>
      <c r="D8" s="163"/>
      <c r="E8" s="227" t="s">
        <v>7</v>
      </c>
      <c r="F8" s="228" t="s">
        <v>7</v>
      </c>
      <c r="G8" s="228" t="s">
        <v>7</v>
      </c>
      <c r="H8" s="228" t="s">
        <v>7</v>
      </c>
      <c r="I8" s="228" t="s">
        <v>8</v>
      </c>
      <c r="J8" s="164" t="s">
        <v>7</v>
      </c>
      <c r="K8" s="230" t="s">
        <v>7</v>
      </c>
      <c r="L8" s="230" t="s">
        <v>8</v>
      </c>
      <c r="M8" s="230" t="s">
        <v>7</v>
      </c>
      <c r="N8" s="230" t="s">
        <v>7</v>
      </c>
      <c r="O8" s="230" t="s">
        <v>8</v>
      </c>
      <c r="P8" s="230" t="s">
        <v>7</v>
      </c>
      <c r="Q8" s="230" t="s">
        <v>7</v>
      </c>
      <c r="R8" s="230" t="s">
        <v>7</v>
      </c>
      <c r="S8" s="230" t="s">
        <v>7</v>
      </c>
    </row>
    <row r="9" spans="2:19" s="230" customFormat="1" ht="12.95" customHeight="1" x14ac:dyDescent="0.15">
      <c r="B9" s="578" t="s">
        <v>367</v>
      </c>
      <c r="C9" s="555"/>
      <c r="D9" s="231"/>
      <c r="E9" s="231" t="s">
        <v>349</v>
      </c>
      <c r="F9" s="232" t="s">
        <v>350</v>
      </c>
      <c r="G9" s="232" t="s">
        <v>351</v>
      </c>
      <c r="H9" s="232" t="s">
        <v>349</v>
      </c>
      <c r="I9" s="232" t="s">
        <v>350</v>
      </c>
      <c r="J9" s="165" t="s">
        <v>351</v>
      </c>
      <c r="K9" s="230" t="s">
        <v>349</v>
      </c>
      <c r="L9" s="230" t="s">
        <v>350</v>
      </c>
      <c r="M9" s="230" t="s">
        <v>351</v>
      </c>
      <c r="N9" s="230" t="s">
        <v>349</v>
      </c>
      <c r="O9" s="230" t="s">
        <v>350</v>
      </c>
      <c r="P9" s="230" t="s">
        <v>351</v>
      </c>
      <c r="Q9" s="230" t="s">
        <v>349</v>
      </c>
      <c r="R9" s="230" t="s">
        <v>350</v>
      </c>
      <c r="S9" s="230" t="s">
        <v>351</v>
      </c>
    </row>
    <row r="10" spans="2:19" s="230" customFormat="1" ht="12.95" customHeight="1" x14ac:dyDescent="0.15">
      <c r="B10" s="578" t="s">
        <v>368</v>
      </c>
      <c r="C10" s="555"/>
      <c r="D10" s="166"/>
      <c r="E10" s="233" t="s">
        <v>352</v>
      </c>
      <c r="F10" s="234" t="s">
        <v>352</v>
      </c>
      <c r="G10" s="234" t="s">
        <v>352</v>
      </c>
      <c r="H10" s="234" t="s">
        <v>353</v>
      </c>
      <c r="I10" s="234" t="s">
        <v>353</v>
      </c>
      <c r="J10" s="167" t="s">
        <v>353</v>
      </c>
      <c r="K10" s="230" t="s">
        <v>354</v>
      </c>
      <c r="L10" s="230" t="s">
        <v>354</v>
      </c>
      <c r="M10" s="230" t="s">
        <v>354</v>
      </c>
      <c r="N10" s="230" t="s">
        <v>355</v>
      </c>
      <c r="O10" s="230" t="s">
        <v>355</v>
      </c>
      <c r="P10" s="230" t="s">
        <v>355</v>
      </c>
      <c r="Q10" s="230" t="s">
        <v>356</v>
      </c>
      <c r="R10" s="230" t="s">
        <v>356</v>
      </c>
      <c r="S10" s="230" t="s">
        <v>356</v>
      </c>
    </row>
    <row r="11" spans="2:19" s="230" customFormat="1" ht="12.95" customHeight="1" x14ac:dyDescent="0.15">
      <c r="B11" s="569" t="s">
        <v>238</v>
      </c>
      <c r="C11" s="168" t="s">
        <v>50</v>
      </c>
      <c r="D11" s="240" t="s">
        <v>20</v>
      </c>
      <c r="E11" s="401">
        <v>240.4</v>
      </c>
      <c r="F11" s="402">
        <v>430.3</v>
      </c>
      <c r="G11" s="402">
        <v>241.3</v>
      </c>
      <c r="H11" s="402">
        <v>460.9</v>
      </c>
      <c r="I11" s="402">
        <v>678.2</v>
      </c>
      <c r="J11" s="403">
        <v>435.1</v>
      </c>
      <c r="K11" s="230">
        <v>422.7</v>
      </c>
      <c r="L11" s="230">
        <v>627.29999999999995</v>
      </c>
      <c r="M11" s="230">
        <v>396.2</v>
      </c>
      <c r="N11" s="230">
        <v>415.4</v>
      </c>
      <c r="O11" s="230">
        <v>640</v>
      </c>
      <c r="P11" s="230">
        <v>443.7</v>
      </c>
      <c r="Q11" s="230">
        <v>286.89999999999998</v>
      </c>
      <c r="R11" s="230">
        <v>469.5</v>
      </c>
      <c r="S11" s="394">
        <v>292.7</v>
      </c>
    </row>
    <row r="12" spans="2:19" s="230" customFormat="1" ht="12.95" customHeight="1" x14ac:dyDescent="0.15">
      <c r="B12" s="549"/>
      <c r="C12" s="169" t="s">
        <v>250</v>
      </c>
      <c r="D12" s="170" t="s">
        <v>20</v>
      </c>
      <c r="E12" s="346">
        <f>SUM(E11:S11)</f>
        <v>6480.5999999999985</v>
      </c>
      <c r="F12" s="346">
        <f>SUM(E13:S13)</f>
        <v>1.0000000000000004</v>
      </c>
      <c r="G12" s="346"/>
      <c r="H12" s="346"/>
      <c r="I12" s="346"/>
      <c r="J12" s="346"/>
      <c r="K12" s="346"/>
      <c r="L12" s="346"/>
      <c r="M12" s="346"/>
      <c r="N12" s="346"/>
      <c r="O12" s="346"/>
      <c r="P12" s="346"/>
      <c r="Q12" s="346"/>
      <c r="R12" s="346"/>
    </row>
    <row r="13" spans="2:19" s="230" customFormat="1" ht="12.95" customHeight="1" x14ac:dyDescent="0.15">
      <c r="B13" s="549"/>
      <c r="C13" s="169" t="s">
        <v>369</v>
      </c>
      <c r="D13" s="170" t="s">
        <v>20</v>
      </c>
      <c r="E13" s="352">
        <f>IF(E11="","",E11/E12)</f>
        <v>3.7095330679258104E-2</v>
      </c>
      <c r="F13" s="352">
        <f t="shared" ref="F13:S13" si="0">IF(F11="","",F11/$E12)</f>
        <v>6.6398173008672054E-2</v>
      </c>
      <c r="G13" s="352">
        <f t="shared" si="0"/>
        <v>3.7234206709255327E-2</v>
      </c>
      <c r="H13" s="352">
        <f t="shared" si="0"/>
        <v>7.111995802857761E-2</v>
      </c>
      <c r="I13" s="352">
        <f t="shared" si="0"/>
        <v>0.10465080393790702</v>
      </c>
      <c r="J13" s="352">
        <f t="shared" si="0"/>
        <v>6.7138845168657244E-2</v>
      </c>
      <c r="K13" s="352">
        <f t="shared" si="0"/>
        <v>6.5225442088695504E-2</v>
      </c>
      <c r="L13" s="352">
        <f t="shared" si="0"/>
        <v>9.6796592908064083E-2</v>
      </c>
      <c r="M13" s="352">
        <f t="shared" si="0"/>
        <v>6.1136314538777284E-2</v>
      </c>
      <c r="N13" s="352">
        <f t="shared" si="0"/>
        <v>6.4099003178718028E-2</v>
      </c>
      <c r="O13" s="352">
        <f t="shared" si="0"/>
        <v>9.8756287998024897E-2</v>
      </c>
      <c r="P13" s="352">
        <f t="shared" si="0"/>
        <v>6.8465882788630694E-2</v>
      </c>
      <c r="Q13" s="352">
        <f t="shared" si="0"/>
        <v>4.4270592229114593E-2</v>
      </c>
      <c r="R13" s="352">
        <f t="shared" si="0"/>
        <v>7.2446995648551074E-2</v>
      </c>
      <c r="S13" s="352">
        <f t="shared" si="0"/>
        <v>4.5165571089096697E-2</v>
      </c>
    </row>
    <row r="14" spans="2:19" s="230" customFormat="1" ht="12.95" customHeight="1" x14ac:dyDescent="0.15">
      <c r="B14" s="549"/>
      <c r="C14" s="169" t="s">
        <v>370</v>
      </c>
      <c r="D14" s="170" t="s">
        <v>126</v>
      </c>
      <c r="E14" s="355">
        <f>+D5</f>
        <v>729.42000000000007</v>
      </c>
      <c r="F14" s="354"/>
      <c r="G14" s="354"/>
      <c r="H14" s="354"/>
      <c r="I14" s="354"/>
      <c r="J14" s="404"/>
    </row>
    <row r="15" spans="2:19" s="230" customFormat="1" ht="12.95" customHeight="1" x14ac:dyDescent="0.15">
      <c r="B15" s="549"/>
      <c r="C15" s="169" t="s">
        <v>371</v>
      </c>
      <c r="D15" s="170" t="s">
        <v>126</v>
      </c>
      <c r="E15" s="355">
        <f t="shared" ref="E15:S15" si="1">IF(E13="","",E13*$E14)</f>
        <v>27.058076104064448</v>
      </c>
      <c r="F15" s="355">
        <f t="shared" si="1"/>
        <v>48.432155355985572</v>
      </c>
      <c r="G15" s="355">
        <f t="shared" si="1"/>
        <v>27.159375057865024</v>
      </c>
      <c r="H15" s="355">
        <f t="shared" si="1"/>
        <v>51.876319785205084</v>
      </c>
      <c r="I15" s="355">
        <f t="shared" si="1"/>
        <v>76.334389408388148</v>
      </c>
      <c r="J15" s="355">
        <f t="shared" si="1"/>
        <v>48.972416442921968</v>
      </c>
      <c r="K15" s="355">
        <f t="shared" si="1"/>
        <v>47.576741968336279</v>
      </c>
      <c r="L15" s="355">
        <f t="shared" si="1"/>
        <v>70.605370799000113</v>
      </c>
      <c r="M15" s="355">
        <f t="shared" si="1"/>
        <v>44.594050550874933</v>
      </c>
      <c r="N15" s="355">
        <f t="shared" si="1"/>
        <v>46.755094898620506</v>
      </c>
      <c r="O15" s="355">
        <f t="shared" si="1"/>
        <v>72.034811591519329</v>
      </c>
      <c r="P15" s="355">
        <f t="shared" si="1"/>
        <v>49.940384223683004</v>
      </c>
      <c r="Q15" s="355">
        <f t="shared" si="1"/>
        <v>32.291855383760769</v>
      </c>
      <c r="R15" s="355">
        <f t="shared" si="1"/>
        <v>52.844287565966127</v>
      </c>
      <c r="S15" s="355">
        <f t="shared" si="1"/>
        <v>32.944670863808916</v>
      </c>
    </row>
    <row r="16" spans="2:19" s="230" customFormat="1" ht="12.95" customHeight="1" x14ac:dyDescent="0.15">
      <c r="B16" s="549"/>
      <c r="C16" s="169"/>
      <c r="D16" s="170"/>
      <c r="E16" s="355"/>
      <c r="F16" s="354"/>
      <c r="G16" s="354"/>
      <c r="H16" s="354"/>
      <c r="I16" s="354"/>
      <c r="J16" s="404"/>
    </row>
    <row r="17" spans="2:19" s="230" customFormat="1" ht="12.95" customHeight="1" x14ac:dyDescent="0.15">
      <c r="B17" s="549"/>
      <c r="C17" s="169"/>
      <c r="D17" s="170"/>
      <c r="E17" s="355"/>
      <c r="F17" s="354"/>
      <c r="G17" s="354"/>
      <c r="H17" s="354"/>
      <c r="I17" s="354"/>
      <c r="J17" s="404"/>
    </row>
    <row r="18" spans="2:19" s="230" customFormat="1" ht="12.95" customHeight="1" x14ac:dyDescent="0.15">
      <c r="B18" s="549"/>
      <c r="C18" s="230" t="s">
        <v>70</v>
      </c>
      <c r="D18" s="170" t="s">
        <v>372</v>
      </c>
      <c r="E18" s="230">
        <v>2</v>
      </c>
      <c r="F18" s="230">
        <v>2</v>
      </c>
      <c r="G18" s="230">
        <v>2</v>
      </c>
      <c r="H18" s="230">
        <v>2</v>
      </c>
      <c r="I18" s="230">
        <v>3</v>
      </c>
      <c r="J18" s="230">
        <v>2</v>
      </c>
      <c r="K18" s="230">
        <v>2</v>
      </c>
      <c r="L18" s="230">
        <v>3</v>
      </c>
      <c r="M18" s="230">
        <v>2</v>
      </c>
      <c r="N18" s="230">
        <v>2</v>
      </c>
      <c r="O18" s="230">
        <v>3</v>
      </c>
      <c r="P18" s="230">
        <v>2</v>
      </c>
      <c r="Q18" s="230">
        <v>2</v>
      </c>
      <c r="R18" s="230">
        <v>2</v>
      </c>
      <c r="S18" s="230">
        <v>2</v>
      </c>
    </row>
    <row r="19" spans="2:19" s="230" customFormat="1" ht="12.95" customHeight="1" x14ac:dyDescent="0.15">
      <c r="B19" s="549"/>
      <c r="C19" s="169" t="s">
        <v>62</v>
      </c>
      <c r="D19" s="170" t="s">
        <v>63</v>
      </c>
      <c r="E19" s="346">
        <f t="shared" ref="E19:S19" si="2">E18</f>
        <v>2</v>
      </c>
      <c r="F19" s="346">
        <f t="shared" si="2"/>
        <v>2</v>
      </c>
      <c r="G19" s="346">
        <f t="shared" si="2"/>
        <v>2</v>
      </c>
      <c r="H19" s="346">
        <f t="shared" si="2"/>
        <v>2</v>
      </c>
      <c r="I19" s="346">
        <f t="shared" si="2"/>
        <v>3</v>
      </c>
      <c r="J19" s="346">
        <f t="shared" si="2"/>
        <v>2</v>
      </c>
      <c r="K19" s="346">
        <f t="shared" si="2"/>
        <v>2</v>
      </c>
      <c r="L19" s="346">
        <f t="shared" si="2"/>
        <v>3</v>
      </c>
      <c r="M19" s="346">
        <f t="shared" si="2"/>
        <v>2</v>
      </c>
      <c r="N19" s="346">
        <f t="shared" si="2"/>
        <v>2</v>
      </c>
      <c r="O19" s="346">
        <f t="shared" si="2"/>
        <v>3</v>
      </c>
      <c r="P19" s="346">
        <f t="shared" si="2"/>
        <v>2</v>
      </c>
      <c r="Q19" s="346">
        <f t="shared" si="2"/>
        <v>2</v>
      </c>
      <c r="R19" s="346">
        <f t="shared" si="2"/>
        <v>2</v>
      </c>
      <c r="S19" s="346">
        <f t="shared" si="2"/>
        <v>2</v>
      </c>
    </row>
    <row r="20" spans="2:19" s="230" customFormat="1" ht="12.95" customHeight="1" x14ac:dyDescent="0.15">
      <c r="B20" s="545"/>
      <c r="C20" s="171" t="s">
        <v>256</v>
      </c>
      <c r="D20" s="172" t="s">
        <v>257</v>
      </c>
      <c r="E20" s="355">
        <f t="shared" ref="E20:S20" si="3">IF(E18="","",$E15/E19)</f>
        <v>13.529038052032224</v>
      </c>
      <c r="F20" s="355">
        <f t="shared" si="3"/>
        <v>13.529038052032224</v>
      </c>
      <c r="G20" s="355">
        <f t="shared" si="3"/>
        <v>13.529038052032224</v>
      </c>
      <c r="H20" s="355">
        <f t="shared" si="3"/>
        <v>13.529038052032224</v>
      </c>
      <c r="I20" s="355">
        <f t="shared" si="3"/>
        <v>9.0193587013548164</v>
      </c>
      <c r="J20" s="355">
        <f t="shared" si="3"/>
        <v>13.529038052032224</v>
      </c>
      <c r="K20" s="355">
        <f t="shared" si="3"/>
        <v>13.529038052032224</v>
      </c>
      <c r="L20" s="355">
        <f t="shared" si="3"/>
        <v>9.0193587013548164</v>
      </c>
      <c r="M20" s="355">
        <f t="shared" si="3"/>
        <v>13.529038052032224</v>
      </c>
      <c r="N20" s="355">
        <f t="shared" si="3"/>
        <v>13.529038052032224</v>
      </c>
      <c r="O20" s="355">
        <f t="shared" si="3"/>
        <v>9.0193587013548164</v>
      </c>
      <c r="P20" s="355">
        <f t="shared" si="3"/>
        <v>13.529038052032224</v>
      </c>
      <c r="Q20" s="355">
        <f t="shared" si="3"/>
        <v>13.529038052032224</v>
      </c>
      <c r="R20" s="355">
        <f t="shared" si="3"/>
        <v>13.529038052032224</v>
      </c>
      <c r="S20" s="355">
        <f t="shared" si="3"/>
        <v>13.529038052032224</v>
      </c>
    </row>
    <row r="21" spans="2:19" ht="12.95" customHeight="1" x14ac:dyDescent="0.15">
      <c r="B21" s="569" t="s">
        <v>259</v>
      </c>
      <c r="C21" s="168" t="s">
        <v>108</v>
      </c>
      <c r="D21" s="240"/>
      <c r="E21" s="405">
        <v>4</v>
      </c>
      <c r="F21" s="405">
        <v>4</v>
      </c>
      <c r="G21" s="405">
        <v>4</v>
      </c>
      <c r="H21" s="405">
        <v>4</v>
      </c>
      <c r="I21" s="405">
        <v>4</v>
      </c>
      <c r="J21" s="405">
        <v>4</v>
      </c>
      <c r="K21" s="405">
        <v>4</v>
      </c>
      <c r="L21" s="405">
        <v>4</v>
      </c>
      <c r="M21" s="405">
        <v>4</v>
      </c>
      <c r="N21" s="405">
        <v>4</v>
      </c>
      <c r="O21" s="405">
        <v>4</v>
      </c>
      <c r="P21" s="405">
        <v>4</v>
      </c>
      <c r="Q21" s="405">
        <v>4</v>
      </c>
      <c r="R21" s="405">
        <v>4</v>
      </c>
      <c r="S21" s="405">
        <v>4</v>
      </c>
    </row>
    <row r="22" spans="2:19" ht="12.95" customHeight="1" x14ac:dyDescent="0.15">
      <c r="B22" s="549"/>
      <c r="C22" s="169" t="s">
        <v>262</v>
      </c>
      <c r="D22" s="170"/>
      <c r="E22" s="476">
        <f>+'L+Ex'!E22</f>
        <v>2</v>
      </c>
      <c r="F22" s="444">
        <v>2</v>
      </c>
      <c r="G22" s="444">
        <v>2</v>
      </c>
      <c r="H22" s="444">
        <v>2</v>
      </c>
      <c r="I22" s="444">
        <v>2</v>
      </c>
      <c r="J22" s="444">
        <v>2</v>
      </c>
      <c r="K22" s="444">
        <v>2</v>
      </c>
      <c r="L22" s="444">
        <v>2</v>
      </c>
      <c r="M22" s="444">
        <v>2</v>
      </c>
      <c r="N22" s="444">
        <v>2</v>
      </c>
      <c r="O22" s="444">
        <v>2</v>
      </c>
      <c r="P22" s="444">
        <v>2</v>
      </c>
      <c r="Q22" s="444">
        <v>2</v>
      </c>
      <c r="R22" s="444">
        <v>2</v>
      </c>
      <c r="S22" s="444">
        <v>2</v>
      </c>
    </row>
    <row r="23" spans="2:19" ht="12.95" customHeight="1" x14ac:dyDescent="0.15">
      <c r="B23" s="549"/>
      <c r="C23" s="169" t="s">
        <v>263</v>
      </c>
      <c r="D23" s="170" t="s">
        <v>31</v>
      </c>
      <c r="E23" s="408">
        <f t="shared" ref="E23:S23" si="4">7*E22*100</f>
        <v>1400</v>
      </c>
      <c r="F23" s="409">
        <f t="shared" si="4"/>
        <v>1400</v>
      </c>
      <c r="G23" s="409">
        <f t="shared" si="4"/>
        <v>1400</v>
      </c>
      <c r="H23" s="409">
        <f t="shared" si="4"/>
        <v>1400</v>
      </c>
      <c r="I23" s="409">
        <f t="shared" si="4"/>
        <v>1400</v>
      </c>
      <c r="J23" s="409">
        <f t="shared" si="4"/>
        <v>1400</v>
      </c>
      <c r="K23" s="409">
        <f t="shared" si="4"/>
        <v>1400</v>
      </c>
      <c r="L23" s="409">
        <f t="shared" si="4"/>
        <v>1400</v>
      </c>
      <c r="M23" s="409">
        <f t="shared" si="4"/>
        <v>1400</v>
      </c>
      <c r="N23" s="409">
        <f t="shared" si="4"/>
        <v>1400</v>
      </c>
      <c r="O23" s="409">
        <f t="shared" si="4"/>
        <v>1400</v>
      </c>
      <c r="P23" s="409">
        <f t="shared" si="4"/>
        <v>1400</v>
      </c>
      <c r="Q23" s="409">
        <f t="shared" si="4"/>
        <v>1400</v>
      </c>
      <c r="R23" s="409">
        <f t="shared" si="4"/>
        <v>1400</v>
      </c>
      <c r="S23" s="409">
        <f t="shared" si="4"/>
        <v>1400</v>
      </c>
    </row>
    <row r="24" spans="2:19" ht="12.95" customHeight="1" x14ac:dyDescent="0.15">
      <c r="B24" s="549"/>
      <c r="C24" s="169" t="s">
        <v>373</v>
      </c>
      <c r="D24" s="170" t="s">
        <v>20</v>
      </c>
      <c r="E24" s="408">
        <f>鉛直!O8</f>
        <v>1</v>
      </c>
      <c r="F24" s="409">
        <f>鉛直!P8</f>
        <v>1</v>
      </c>
      <c r="G24" s="409">
        <f>鉛直!Q8</f>
        <v>1</v>
      </c>
      <c r="H24" s="409">
        <f>鉛直!R8</f>
        <v>1</v>
      </c>
      <c r="I24" s="409">
        <f>鉛直!S8</f>
        <v>1</v>
      </c>
      <c r="J24" s="409">
        <v>1</v>
      </c>
      <c r="K24" s="409">
        <v>1</v>
      </c>
      <c r="L24" s="409">
        <v>1</v>
      </c>
      <c r="M24" s="409">
        <v>1</v>
      </c>
      <c r="N24" s="409">
        <v>1</v>
      </c>
      <c r="O24" s="409">
        <v>1</v>
      </c>
      <c r="P24" s="409">
        <v>1</v>
      </c>
      <c r="Q24" s="409">
        <v>1</v>
      </c>
      <c r="R24" s="409">
        <v>1</v>
      </c>
      <c r="S24" s="409">
        <v>1</v>
      </c>
    </row>
    <row r="25" spans="2:19" ht="12.95" customHeight="1" x14ac:dyDescent="0.15">
      <c r="B25" s="545"/>
      <c r="C25" s="171" t="s">
        <v>267</v>
      </c>
      <c r="D25" s="172"/>
      <c r="E25" s="410">
        <f t="shared" ref="E25:S25" si="5">ROUNDDOWN((1/30)*E21*E23*(E24*100/30)^(-3/4)*10^2,3)</f>
        <v>7566.72</v>
      </c>
      <c r="F25" s="411">
        <f t="shared" si="5"/>
        <v>7566.72</v>
      </c>
      <c r="G25" s="411">
        <f t="shared" si="5"/>
        <v>7566.72</v>
      </c>
      <c r="H25" s="411">
        <f t="shared" si="5"/>
        <v>7566.72</v>
      </c>
      <c r="I25" s="411">
        <f t="shared" si="5"/>
        <v>7566.72</v>
      </c>
      <c r="J25" s="411">
        <f t="shared" si="5"/>
        <v>7566.72</v>
      </c>
      <c r="K25" s="411">
        <f t="shared" si="5"/>
        <v>7566.72</v>
      </c>
      <c r="L25" s="411">
        <f t="shared" si="5"/>
        <v>7566.72</v>
      </c>
      <c r="M25" s="411">
        <f t="shared" si="5"/>
        <v>7566.72</v>
      </c>
      <c r="N25" s="411">
        <f t="shared" si="5"/>
        <v>7566.72</v>
      </c>
      <c r="O25" s="411">
        <f t="shared" si="5"/>
        <v>7566.72</v>
      </c>
      <c r="P25" s="411">
        <f t="shared" si="5"/>
        <v>7566.72</v>
      </c>
      <c r="Q25" s="411">
        <f t="shared" si="5"/>
        <v>7566.72</v>
      </c>
      <c r="R25" s="411">
        <f t="shared" si="5"/>
        <v>7566.72</v>
      </c>
      <c r="S25" s="411">
        <f t="shared" si="5"/>
        <v>7566.72</v>
      </c>
    </row>
    <row r="26" spans="2:19" ht="12.95" customHeight="1" x14ac:dyDescent="0.15">
      <c r="B26" s="569" t="s">
        <v>269</v>
      </c>
      <c r="C26" s="168" t="s">
        <v>19</v>
      </c>
      <c r="D26" s="240" t="s">
        <v>20</v>
      </c>
      <c r="E26" s="477">
        <f>+'L-Ex'!E26</f>
        <v>1</v>
      </c>
      <c r="F26" s="451">
        <f>+'L-Ex'!F26</f>
        <v>1</v>
      </c>
      <c r="G26" s="451">
        <f>+'L-Ex'!G26</f>
        <v>1</v>
      </c>
      <c r="H26" s="451">
        <f>+'L-Ex'!H26</f>
        <v>1</v>
      </c>
      <c r="I26" s="451">
        <f>+'L-Ex'!I26</f>
        <v>1</v>
      </c>
      <c r="J26" s="451">
        <f>+'L-Ex'!J26</f>
        <v>1</v>
      </c>
      <c r="K26" s="451">
        <f>+'L-Ex'!K26</f>
        <v>1</v>
      </c>
      <c r="L26" s="451">
        <f>+'L-Ex'!L26</f>
        <v>1</v>
      </c>
      <c r="M26" s="451">
        <f>+'L-Ex'!M26</f>
        <v>1</v>
      </c>
      <c r="N26" s="451">
        <f>+'L-Ex'!N26</f>
        <v>1</v>
      </c>
      <c r="O26" s="451">
        <f>+'L-Ex'!O26</f>
        <v>1</v>
      </c>
      <c r="P26" s="451">
        <f>+'L-Ex'!P26</f>
        <v>1</v>
      </c>
      <c r="Q26" s="451">
        <f>+'L-Ex'!Q26</f>
        <v>1</v>
      </c>
      <c r="R26" s="451">
        <f>+'L-Ex'!R26</f>
        <v>1</v>
      </c>
      <c r="S26" s="451">
        <f>+'L-Ex'!S26</f>
        <v>1</v>
      </c>
    </row>
    <row r="27" spans="2:19" ht="12.95" customHeight="1" x14ac:dyDescent="0.15">
      <c r="B27" s="549"/>
      <c r="C27" s="169" t="s">
        <v>265</v>
      </c>
      <c r="D27" s="170" t="s">
        <v>20</v>
      </c>
      <c r="E27" s="478">
        <f>+'L-Ex'!E27</f>
        <v>1</v>
      </c>
      <c r="F27" s="454">
        <f>+'L-Ex'!F27</f>
        <v>1</v>
      </c>
      <c r="G27" s="454">
        <f>+'L-Ex'!G27</f>
        <v>1</v>
      </c>
      <c r="H27" s="454">
        <f>+'L-Ex'!H27</f>
        <v>1</v>
      </c>
      <c r="I27" s="454">
        <f>+'L-Ex'!I27</f>
        <v>1</v>
      </c>
      <c r="J27" s="454">
        <f>+'L-Ex'!J27</f>
        <v>1</v>
      </c>
      <c r="K27" s="454">
        <f>+'L-Ex'!K27</f>
        <v>1</v>
      </c>
      <c r="L27" s="454">
        <f>+'L-Ex'!L27</f>
        <v>1</v>
      </c>
      <c r="M27" s="454">
        <f>+'L-Ex'!M27</f>
        <v>1</v>
      </c>
      <c r="N27" s="454">
        <f>+'L-Ex'!N27</f>
        <v>1</v>
      </c>
      <c r="O27" s="454">
        <f>+'L-Ex'!O27</f>
        <v>1</v>
      </c>
      <c r="P27" s="454">
        <f>+'L-Ex'!P27</f>
        <v>1</v>
      </c>
      <c r="Q27" s="454">
        <f>+'L-Ex'!Q27</f>
        <v>1</v>
      </c>
      <c r="R27" s="454">
        <f>+'L-Ex'!R27</f>
        <v>1</v>
      </c>
      <c r="S27" s="454">
        <f>+'L-Ex'!S27</f>
        <v>1</v>
      </c>
    </row>
    <row r="28" spans="2:19" ht="12.95" customHeight="1" x14ac:dyDescent="0.15">
      <c r="B28" s="549"/>
      <c r="C28" s="169" t="s">
        <v>273</v>
      </c>
      <c r="D28" s="170"/>
      <c r="E28" s="408">
        <f t="shared" ref="E28:S28" si="6">E26/E27</f>
        <v>1</v>
      </c>
      <c r="F28" s="409">
        <f t="shared" si="6"/>
        <v>1</v>
      </c>
      <c r="G28" s="409">
        <f t="shared" si="6"/>
        <v>1</v>
      </c>
      <c r="H28" s="409">
        <f t="shared" si="6"/>
        <v>1</v>
      </c>
      <c r="I28" s="409">
        <f t="shared" si="6"/>
        <v>1</v>
      </c>
      <c r="J28" s="409">
        <f t="shared" si="6"/>
        <v>1</v>
      </c>
      <c r="K28" s="409">
        <f t="shared" si="6"/>
        <v>1</v>
      </c>
      <c r="L28" s="409">
        <f t="shared" si="6"/>
        <v>1</v>
      </c>
      <c r="M28" s="409">
        <f t="shared" si="6"/>
        <v>1</v>
      </c>
      <c r="N28" s="409">
        <f t="shared" si="6"/>
        <v>1</v>
      </c>
      <c r="O28" s="409">
        <f t="shared" si="6"/>
        <v>1</v>
      </c>
      <c r="P28" s="409">
        <f t="shared" si="6"/>
        <v>1</v>
      </c>
      <c r="Q28" s="409">
        <f t="shared" si="6"/>
        <v>1</v>
      </c>
      <c r="R28" s="409">
        <f t="shared" si="6"/>
        <v>1</v>
      </c>
      <c r="S28" s="409">
        <f t="shared" si="6"/>
        <v>1</v>
      </c>
    </row>
    <row r="29" spans="2:19" ht="12.95" customHeight="1" x14ac:dyDescent="0.15">
      <c r="B29" s="549"/>
      <c r="C29" s="169" t="s">
        <v>275</v>
      </c>
      <c r="D29" s="170"/>
      <c r="E29" s="408">
        <f t="shared" ref="E29:S29" si="7">ROUNDDOWN((1-0.2*(3-E28)),1)</f>
        <v>0.6</v>
      </c>
      <c r="F29" s="409">
        <f t="shared" si="7"/>
        <v>0.6</v>
      </c>
      <c r="G29" s="409">
        <f t="shared" si="7"/>
        <v>0.6</v>
      </c>
      <c r="H29" s="409">
        <f t="shared" si="7"/>
        <v>0.6</v>
      </c>
      <c r="I29" s="409">
        <f t="shared" si="7"/>
        <v>0.6</v>
      </c>
      <c r="J29" s="409">
        <f t="shared" si="7"/>
        <v>0.6</v>
      </c>
      <c r="K29" s="409">
        <f t="shared" si="7"/>
        <v>0.6</v>
      </c>
      <c r="L29" s="409">
        <f t="shared" si="7"/>
        <v>0.6</v>
      </c>
      <c r="M29" s="409">
        <f t="shared" si="7"/>
        <v>0.6</v>
      </c>
      <c r="N29" s="409">
        <f t="shared" si="7"/>
        <v>0.6</v>
      </c>
      <c r="O29" s="409">
        <f t="shared" si="7"/>
        <v>0.6</v>
      </c>
      <c r="P29" s="409">
        <f t="shared" si="7"/>
        <v>0.6</v>
      </c>
      <c r="Q29" s="409">
        <f t="shared" si="7"/>
        <v>0.6</v>
      </c>
      <c r="R29" s="409">
        <f t="shared" si="7"/>
        <v>0.6</v>
      </c>
      <c r="S29" s="409">
        <f t="shared" si="7"/>
        <v>0.6</v>
      </c>
    </row>
    <row r="30" spans="2:19" ht="12.95" customHeight="1" x14ac:dyDescent="0.15">
      <c r="B30" s="549"/>
      <c r="C30" s="169" t="s">
        <v>239</v>
      </c>
      <c r="D30" s="170" t="s">
        <v>20</v>
      </c>
      <c r="E30" s="408">
        <f t="shared" ref="E30:S30" si="8">+E27</f>
        <v>1</v>
      </c>
      <c r="F30" s="409">
        <f t="shared" si="8"/>
        <v>1</v>
      </c>
      <c r="G30" s="409">
        <f t="shared" si="8"/>
        <v>1</v>
      </c>
      <c r="H30" s="409">
        <f t="shared" si="8"/>
        <v>1</v>
      </c>
      <c r="I30" s="409">
        <f t="shared" si="8"/>
        <v>1</v>
      </c>
      <c r="J30" s="409">
        <f t="shared" si="8"/>
        <v>1</v>
      </c>
      <c r="K30" s="409">
        <f t="shared" si="8"/>
        <v>1</v>
      </c>
      <c r="L30" s="409">
        <f t="shared" si="8"/>
        <v>1</v>
      </c>
      <c r="M30" s="409">
        <f t="shared" si="8"/>
        <v>1</v>
      </c>
      <c r="N30" s="409">
        <f t="shared" si="8"/>
        <v>1</v>
      </c>
      <c r="O30" s="409">
        <f t="shared" si="8"/>
        <v>1</v>
      </c>
      <c r="P30" s="409">
        <f t="shared" si="8"/>
        <v>1</v>
      </c>
      <c r="Q30" s="409">
        <f t="shared" si="8"/>
        <v>1</v>
      </c>
      <c r="R30" s="409">
        <f t="shared" si="8"/>
        <v>1</v>
      </c>
      <c r="S30" s="409">
        <f t="shared" si="8"/>
        <v>1</v>
      </c>
    </row>
    <row r="31" spans="2:19" ht="12.95" customHeight="1" x14ac:dyDescent="0.15">
      <c r="B31" s="549"/>
      <c r="C31" s="169" t="s">
        <v>276</v>
      </c>
      <c r="D31" s="170"/>
      <c r="E31" s="416">
        <f t="shared" ref="E31:S31" si="9">ROUNDDOWN((1/30)*E21*E23*(E30*100/30)^(-3/4)*10^2,2)</f>
        <v>7566.72</v>
      </c>
      <c r="F31" s="417">
        <f t="shared" si="9"/>
        <v>7566.72</v>
      </c>
      <c r="G31" s="417">
        <f t="shared" si="9"/>
        <v>7566.72</v>
      </c>
      <c r="H31" s="417">
        <f t="shared" si="9"/>
        <v>7566.72</v>
      </c>
      <c r="I31" s="417">
        <f t="shared" si="9"/>
        <v>7566.72</v>
      </c>
      <c r="J31" s="417">
        <f t="shared" si="9"/>
        <v>7566.72</v>
      </c>
      <c r="K31" s="417">
        <f t="shared" si="9"/>
        <v>7566.72</v>
      </c>
      <c r="L31" s="417">
        <f t="shared" si="9"/>
        <v>7566.72</v>
      </c>
      <c r="M31" s="417">
        <f t="shared" si="9"/>
        <v>7566.72</v>
      </c>
      <c r="N31" s="417">
        <f t="shared" si="9"/>
        <v>7566.72</v>
      </c>
      <c r="O31" s="417">
        <f t="shared" si="9"/>
        <v>7566.72</v>
      </c>
      <c r="P31" s="417">
        <f t="shared" si="9"/>
        <v>7566.72</v>
      </c>
      <c r="Q31" s="417">
        <f t="shared" si="9"/>
        <v>7566.72</v>
      </c>
      <c r="R31" s="417">
        <f t="shared" si="9"/>
        <v>7566.72</v>
      </c>
      <c r="S31" s="417">
        <f t="shared" si="9"/>
        <v>7566.72</v>
      </c>
    </row>
    <row r="32" spans="2:19" ht="12.95" customHeight="1" x14ac:dyDescent="0.15">
      <c r="B32" s="549"/>
      <c r="C32" s="169" t="s">
        <v>279</v>
      </c>
      <c r="D32" s="170"/>
      <c r="E32" s="416">
        <f t="shared" ref="E32:S32" si="10">ROUNDDOWN(E31/E25,2)</f>
        <v>1</v>
      </c>
      <c r="F32" s="417">
        <f t="shared" si="10"/>
        <v>1</v>
      </c>
      <c r="G32" s="417">
        <f t="shared" si="10"/>
        <v>1</v>
      </c>
      <c r="H32" s="417">
        <f t="shared" si="10"/>
        <v>1</v>
      </c>
      <c r="I32" s="417">
        <f t="shared" si="10"/>
        <v>1</v>
      </c>
      <c r="J32" s="417">
        <f t="shared" si="10"/>
        <v>1</v>
      </c>
      <c r="K32" s="417">
        <f t="shared" si="10"/>
        <v>1</v>
      </c>
      <c r="L32" s="417">
        <f t="shared" si="10"/>
        <v>1</v>
      </c>
      <c r="M32" s="417">
        <f t="shared" si="10"/>
        <v>1</v>
      </c>
      <c r="N32" s="417">
        <f t="shared" si="10"/>
        <v>1</v>
      </c>
      <c r="O32" s="417">
        <f t="shared" si="10"/>
        <v>1</v>
      </c>
      <c r="P32" s="417">
        <f t="shared" si="10"/>
        <v>1</v>
      </c>
      <c r="Q32" s="417">
        <f t="shared" si="10"/>
        <v>1</v>
      </c>
      <c r="R32" s="417">
        <f t="shared" si="10"/>
        <v>1</v>
      </c>
      <c r="S32" s="417">
        <f t="shared" si="10"/>
        <v>1</v>
      </c>
    </row>
    <row r="33" spans="2:21" ht="12.95" customHeight="1" x14ac:dyDescent="0.15">
      <c r="B33" s="549"/>
      <c r="C33" s="169" t="s">
        <v>281</v>
      </c>
      <c r="D33" s="170"/>
      <c r="E33" s="408">
        <f t="shared" ref="E33:S33" si="11">MAX(E29,E32)</f>
        <v>1</v>
      </c>
      <c r="F33" s="409">
        <f t="shared" si="11"/>
        <v>1</v>
      </c>
      <c r="G33" s="409">
        <f t="shared" si="11"/>
        <v>1</v>
      </c>
      <c r="H33" s="409">
        <f t="shared" si="11"/>
        <v>1</v>
      </c>
      <c r="I33" s="409">
        <f t="shared" si="11"/>
        <v>1</v>
      </c>
      <c r="J33" s="409">
        <f t="shared" si="11"/>
        <v>1</v>
      </c>
      <c r="K33" s="409">
        <f t="shared" si="11"/>
        <v>1</v>
      </c>
      <c r="L33" s="409">
        <f t="shared" si="11"/>
        <v>1</v>
      </c>
      <c r="M33" s="409">
        <f t="shared" si="11"/>
        <v>1</v>
      </c>
      <c r="N33" s="409">
        <f t="shared" si="11"/>
        <v>1</v>
      </c>
      <c r="O33" s="409">
        <f t="shared" si="11"/>
        <v>1</v>
      </c>
      <c r="P33" s="409">
        <f t="shared" si="11"/>
        <v>1</v>
      </c>
      <c r="Q33" s="409">
        <f t="shared" si="11"/>
        <v>1</v>
      </c>
      <c r="R33" s="409">
        <f t="shared" si="11"/>
        <v>1</v>
      </c>
      <c r="S33" s="409">
        <f t="shared" si="11"/>
        <v>1</v>
      </c>
    </row>
    <row r="34" spans="2:21" ht="12.95" customHeight="1" x14ac:dyDescent="0.15">
      <c r="B34" s="549"/>
      <c r="C34" s="169" t="s">
        <v>282</v>
      </c>
      <c r="D34" s="170"/>
      <c r="E34" s="408">
        <f t="shared" ref="E34:S34" si="12">(1-0.3*(3-E28))</f>
        <v>0.4</v>
      </c>
      <c r="F34" s="409">
        <f t="shared" si="12"/>
        <v>0.4</v>
      </c>
      <c r="G34" s="409">
        <f t="shared" si="12"/>
        <v>0.4</v>
      </c>
      <c r="H34" s="409">
        <f t="shared" si="12"/>
        <v>0.4</v>
      </c>
      <c r="I34" s="409">
        <f t="shared" si="12"/>
        <v>0.4</v>
      </c>
      <c r="J34" s="409">
        <f t="shared" si="12"/>
        <v>0.4</v>
      </c>
      <c r="K34" s="409">
        <f t="shared" si="12"/>
        <v>0.4</v>
      </c>
      <c r="L34" s="409">
        <f t="shared" si="12"/>
        <v>0.4</v>
      </c>
      <c r="M34" s="409">
        <f t="shared" si="12"/>
        <v>0.4</v>
      </c>
      <c r="N34" s="409">
        <f t="shared" si="12"/>
        <v>0.4</v>
      </c>
      <c r="O34" s="409">
        <f t="shared" si="12"/>
        <v>0.4</v>
      </c>
      <c r="P34" s="409">
        <f t="shared" si="12"/>
        <v>0.4</v>
      </c>
      <c r="Q34" s="409">
        <f t="shared" si="12"/>
        <v>0.4</v>
      </c>
      <c r="R34" s="409">
        <f t="shared" si="12"/>
        <v>0.4</v>
      </c>
      <c r="S34" s="409">
        <f t="shared" si="12"/>
        <v>0.4</v>
      </c>
    </row>
    <row r="35" spans="2:21" ht="12.95" customHeight="1" x14ac:dyDescent="0.15">
      <c r="B35" s="549"/>
      <c r="C35" s="169" t="s">
        <v>284</v>
      </c>
      <c r="D35" s="170"/>
      <c r="E35" s="408">
        <f t="shared" ref="E35:S35" si="13">E33*E34</f>
        <v>0.4</v>
      </c>
      <c r="F35" s="409">
        <f t="shared" si="13"/>
        <v>0.4</v>
      </c>
      <c r="G35" s="409">
        <f t="shared" si="13"/>
        <v>0.4</v>
      </c>
      <c r="H35" s="409">
        <f t="shared" si="13"/>
        <v>0.4</v>
      </c>
      <c r="I35" s="409">
        <f t="shared" si="13"/>
        <v>0.4</v>
      </c>
      <c r="J35" s="409">
        <f t="shared" si="13"/>
        <v>0.4</v>
      </c>
      <c r="K35" s="409">
        <f t="shared" si="13"/>
        <v>0.4</v>
      </c>
      <c r="L35" s="409">
        <f t="shared" si="13"/>
        <v>0.4</v>
      </c>
      <c r="M35" s="409">
        <f t="shared" si="13"/>
        <v>0.4</v>
      </c>
      <c r="N35" s="409">
        <f t="shared" si="13"/>
        <v>0.4</v>
      </c>
      <c r="O35" s="409">
        <f t="shared" si="13"/>
        <v>0.4</v>
      </c>
      <c r="P35" s="409">
        <f t="shared" si="13"/>
        <v>0.4</v>
      </c>
      <c r="Q35" s="409">
        <f t="shared" si="13"/>
        <v>0.4</v>
      </c>
      <c r="R35" s="409">
        <f t="shared" si="13"/>
        <v>0.4</v>
      </c>
      <c r="S35" s="409">
        <f t="shared" si="13"/>
        <v>0.4</v>
      </c>
    </row>
    <row r="36" spans="2:21" ht="12.95" customHeight="1" x14ac:dyDescent="0.15">
      <c r="B36" s="545"/>
      <c r="C36" s="171" t="s">
        <v>286</v>
      </c>
      <c r="D36" s="172"/>
      <c r="E36" s="410">
        <f t="shared" ref="E36:S36" si="14">ROUNDDOWN(E35*E25,2)</f>
        <v>3026.68</v>
      </c>
      <c r="F36" s="411">
        <f t="shared" si="14"/>
        <v>3026.68</v>
      </c>
      <c r="G36" s="411">
        <f t="shared" si="14"/>
        <v>3026.68</v>
      </c>
      <c r="H36" s="411">
        <f t="shared" si="14"/>
        <v>3026.68</v>
      </c>
      <c r="I36" s="411">
        <f t="shared" si="14"/>
        <v>3026.68</v>
      </c>
      <c r="J36" s="411">
        <f t="shared" si="14"/>
        <v>3026.68</v>
      </c>
      <c r="K36" s="411">
        <f t="shared" si="14"/>
        <v>3026.68</v>
      </c>
      <c r="L36" s="411">
        <f t="shared" si="14"/>
        <v>3026.68</v>
      </c>
      <c r="M36" s="411">
        <f t="shared" si="14"/>
        <v>3026.68</v>
      </c>
      <c r="N36" s="411">
        <f t="shared" si="14"/>
        <v>3026.68</v>
      </c>
      <c r="O36" s="411">
        <f t="shared" si="14"/>
        <v>3026.68</v>
      </c>
      <c r="P36" s="411">
        <f t="shared" si="14"/>
        <v>3026.68</v>
      </c>
      <c r="Q36" s="411">
        <f t="shared" si="14"/>
        <v>3026.68</v>
      </c>
      <c r="R36" s="411">
        <f t="shared" si="14"/>
        <v>3026.68</v>
      </c>
      <c r="S36" s="411">
        <f t="shared" si="14"/>
        <v>3026.68</v>
      </c>
    </row>
    <row r="37" spans="2:21" ht="12.95" customHeight="1" x14ac:dyDescent="0.15">
      <c r="B37" s="569" t="s">
        <v>287</v>
      </c>
      <c r="C37" s="168" t="s">
        <v>30</v>
      </c>
      <c r="D37" s="240" t="s">
        <v>31</v>
      </c>
      <c r="E37" s="479">
        <v>800</v>
      </c>
      <c r="F37" s="419">
        <v>800</v>
      </c>
      <c r="G37" s="419">
        <v>800</v>
      </c>
      <c r="H37" s="419">
        <v>800</v>
      </c>
      <c r="I37" s="419">
        <v>800</v>
      </c>
      <c r="J37" s="419">
        <v>800</v>
      </c>
      <c r="K37" s="419">
        <v>800</v>
      </c>
      <c r="L37" s="419">
        <v>800</v>
      </c>
      <c r="M37" s="419">
        <v>800</v>
      </c>
      <c r="N37" s="419">
        <v>800</v>
      </c>
      <c r="O37" s="419">
        <v>800</v>
      </c>
      <c r="P37" s="419">
        <v>800</v>
      </c>
      <c r="Q37" s="419">
        <v>800</v>
      </c>
      <c r="R37" s="419">
        <v>800</v>
      </c>
      <c r="S37" s="419">
        <v>800</v>
      </c>
    </row>
    <row r="38" spans="2:21" ht="12.95" customHeight="1" x14ac:dyDescent="0.15">
      <c r="B38" s="549"/>
      <c r="C38" s="169" t="s">
        <v>288</v>
      </c>
      <c r="D38" s="170" t="s">
        <v>31</v>
      </c>
      <c r="E38" s="420">
        <f t="shared" ref="E38:S38" si="15">E37*180</f>
        <v>144000</v>
      </c>
      <c r="F38" s="421">
        <f t="shared" si="15"/>
        <v>144000</v>
      </c>
      <c r="G38" s="421">
        <f t="shared" si="15"/>
        <v>144000</v>
      </c>
      <c r="H38" s="421">
        <f t="shared" si="15"/>
        <v>144000</v>
      </c>
      <c r="I38" s="421">
        <f t="shared" si="15"/>
        <v>144000</v>
      </c>
      <c r="J38" s="421">
        <f t="shared" si="15"/>
        <v>144000</v>
      </c>
      <c r="K38" s="421">
        <f t="shared" si="15"/>
        <v>144000</v>
      </c>
      <c r="L38" s="421">
        <f t="shared" si="15"/>
        <v>144000</v>
      </c>
      <c r="M38" s="421">
        <f t="shared" si="15"/>
        <v>144000</v>
      </c>
      <c r="N38" s="421">
        <f t="shared" si="15"/>
        <v>144000</v>
      </c>
      <c r="O38" s="421">
        <f t="shared" si="15"/>
        <v>144000</v>
      </c>
      <c r="P38" s="421">
        <f t="shared" si="15"/>
        <v>144000</v>
      </c>
      <c r="Q38" s="421">
        <f t="shared" si="15"/>
        <v>144000</v>
      </c>
      <c r="R38" s="421">
        <f t="shared" si="15"/>
        <v>144000</v>
      </c>
      <c r="S38" s="421">
        <f t="shared" si="15"/>
        <v>144000</v>
      </c>
    </row>
    <row r="39" spans="2:21" ht="12.95" customHeight="1" x14ac:dyDescent="0.15">
      <c r="B39" s="549"/>
      <c r="C39" s="169" t="s">
        <v>290</v>
      </c>
      <c r="D39" s="170" t="s">
        <v>291</v>
      </c>
      <c r="E39" s="422">
        <f t="shared" ref="E39:S39" si="16">ROUNDDOWN(PI()*E24^4/64,3)</f>
        <v>4.9000000000000002E-2</v>
      </c>
      <c r="F39" s="423">
        <f t="shared" si="16"/>
        <v>4.9000000000000002E-2</v>
      </c>
      <c r="G39" s="423">
        <f t="shared" si="16"/>
        <v>4.9000000000000002E-2</v>
      </c>
      <c r="H39" s="423">
        <f t="shared" si="16"/>
        <v>4.9000000000000002E-2</v>
      </c>
      <c r="I39" s="423">
        <f t="shared" si="16"/>
        <v>4.9000000000000002E-2</v>
      </c>
      <c r="J39" s="423">
        <f t="shared" si="16"/>
        <v>4.9000000000000002E-2</v>
      </c>
      <c r="K39" s="423">
        <f t="shared" si="16"/>
        <v>4.9000000000000002E-2</v>
      </c>
      <c r="L39" s="423">
        <f t="shared" si="16"/>
        <v>4.9000000000000002E-2</v>
      </c>
      <c r="M39" s="423">
        <f t="shared" si="16"/>
        <v>4.9000000000000002E-2</v>
      </c>
      <c r="N39" s="423">
        <f t="shared" si="16"/>
        <v>4.9000000000000002E-2</v>
      </c>
      <c r="O39" s="423">
        <f t="shared" si="16"/>
        <v>4.9000000000000002E-2</v>
      </c>
      <c r="P39" s="423">
        <f t="shared" si="16"/>
        <v>4.9000000000000002E-2</v>
      </c>
      <c r="Q39" s="423">
        <f t="shared" si="16"/>
        <v>4.9000000000000002E-2</v>
      </c>
      <c r="R39" s="423">
        <f t="shared" si="16"/>
        <v>4.9000000000000002E-2</v>
      </c>
      <c r="S39" s="423">
        <f t="shared" si="16"/>
        <v>4.9000000000000002E-2</v>
      </c>
    </row>
    <row r="40" spans="2:21" ht="12.95" customHeight="1" x14ac:dyDescent="0.15">
      <c r="B40" s="549"/>
      <c r="C40" s="169" t="s">
        <v>111</v>
      </c>
      <c r="D40" s="170"/>
      <c r="E40" s="416">
        <f t="shared" ref="E40:S40" si="17">ROUNDDOWN((E36*E24/4/E38/E39)^(1/4),2)</f>
        <v>0.56999999999999995</v>
      </c>
      <c r="F40" s="417">
        <f t="shared" si="17"/>
        <v>0.56999999999999995</v>
      </c>
      <c r="G40" s="417">
        <f t="shared" si="17"/>
        <v>0.56999999999999995</v>
      </c>
      <c r="H40" s="417">
        <f t="shared" si="17"/>
        <v>0.56999999999999995</v>
      </c>
      <c r="I40" s="417">
        <f t="shared" si="17"/>
        <v>0.56999999999999995</v>
      </c>
      <c r="J40" s="417">
        <f t="shared" si="17"/>
        <v>0.56999999999999995</v>
      </c>
      <c r="K40" s="417">
        <f t="shared" si="17"/>
        <v>0.56999999999999995</v>
      </c>
      <c r="L40" s="417">
        <f t="shared" si="17"/>
        <v>0.56999999999999995</v>
      </c>
      <c r="M40" s="417">
        <f t="shared" si="17"/>
        <v>0.56999999999999995</v>
      </c>
      <c r="N40" s="417">
        <f t="shared" si="17"/>
        <v>0.56999999999999995</v>
      </c>
      <c r="O40" s="417">
        <f t="shared" si="17"/>
        <v>0.56999999999999995</v>
      </c>
      <c r="P40" s="417">
        <f t="shared" si="17"/>
        <v>0.56999999999999995</v>
      </c>
      <c r="Q40" s="417">
        <f t="shared" si="17"/>
        <v>0.56999999999999995</v>
      </c>
      <c r="R40" s="417">
        <f t="shared" si="17"/>
        <v>0.56999999999999995</v>
      </c>
      <c r="S40" s="417">
        <f t="shared" si="17"/>
        <v>0.56999999999999995</v>
      </c>
    </row>
    <row r="41" spans="2:21" ht="12.95" customHeight="1" x14ac:dyDescent="0.15">
      <c r="B41" s="549"/>
      <c r="C41" s="169" t="s">
        <v>26</v>
      </c>
      <c r="D41" s="170" t="s">
        <v>20</v>
      </c>
      <c r="E41" s="408">
        <f>鉛直!O10</f>
        <v>8</v>
      </c>
      <c r="F41" s="409">
        <f>鉛直!P10</f>
        <v>9.02</v>
      </c>
      <c r="G41" s="409">
        <f>鉛直!Q10</f>
        <v>9.02</v>
      </c>
      <c r="H41" s="409">
        <f>鉛直!R10</f>
        <v>9.02</v>
      </c>
      <c r="I41" s="409">
        <f>鉛直!S10</f>
        <v>9.02</v>
      </c>
      <c r="J41" s="409">
        <f t="shared" ref="J41:S41" si="18">I41</f>
        <v>9.02</v>
      </c>
      <c r="K41" s="409">
        <f t="shared" si="18"/>
        <v>9.02</v>
      </c>
      <c r="L41" s="409">
        <f t="shared" si="18"/>
        <v>9.02</v>
      </c>
      <c r="M41" s="409">
        <f t="shared" si="18"/>
        <v>9.02</v>
      </c>
      <c r="N41" s="409">
        <f t="shared" si="18"/>
        <v>9.02</v>
      </c>
      <c r="O41" s="409">
        <f t="shared" si="18"/>
        <v>9.02</v>
      </c>
      <c r="P41" s="409">
        <f t="shared" si="18"/>
        <v>9.02</v>
      </c>
      <c r="Q41" s="409">
        <f t="shared" si="18"/>
        <v>9.02</v>
      </c>
      <c r="R41" s="409">
        <f t="shared" si="18"/>
        <v>9.02</v>
      </c>
      <c r="S41" s="409">
        <f t="shared" si="18"/>
        <v>9.02</v>
      </c>
      <c r="T41" s="409"/>
      <c r="U41" s="409"/>
    </row>
    <row r="42" spans="2:21" ht="12.95" customHeight="1" x14ac:dyDescent="0.15">
      <c r="B42" s="549"/>
      <c r="C42" s="169" t="s">
        <v>294</v>
      </c>
      <c r="D42" s="170"/>
      <c r="E42" s="408">
        <f t="shared" ref="E42:S42" si="19">ROUNDDOWN(E40*E41,1)</f>
        <v>4.5</v>
      </c>
      <c r="F42" s="409">
        <f t="shared" si="19"/>
        <v>5.0999999999999996</v>
      </c>
      <c r="G42" s="409">
        <f t="shared" si="19"/>
        <v>5.0999999999999996</v>
      </c>
      <c r="H42" s="409">
        <f t="shared" si="19"/>
        <v>5.0999999999999996</v>
      </c>
      <c r="I42" s="409">
        <f t="shared" si="19"/>
        <v>5.0999999999999996</v>
      </c>
      <c r="J42" s="409">
        <f t="shared" si="19"/>
        <v>5.0999999999999996</v>
      </c>
      <c r="K42" s="409">
        <f t="shared" si="19"/>
        <v>5.0999999999999996</v>
      </c>
      <c r="L42" s="409">
        <f t="shared" si="19"/>
        <v>5.0999999999999996</v>
      </c>
      <c r="M42" s="409">
        <f t="shared" si="19"/>
        <v>5.0999999999999996</v>
      </c>
      <c r="N42" s="409">
        <f t="shared" si="19"/>
        <v>5.0999999999999996</v>
      </c>
      <c r="O42" s="409">
        <f t="shared" si="19"/>
        <v>5.0999999999999996</v>
      </c>
      <c r="P42" s="409">
        <f t="shared" si="19"/>
        <v>5.0999999999999996</v>
      </c>
      <c r="Q42" s="409">
        <f t="shared" si="19"/>
        <v>5.0999999999999996</v>
      </c>
      <c r="R42" s="409">
        <f t="shared" si="19"/>
        <v>5.0999999999999996</v>
      </c>
      <c r="S42" s="409">
        <f t="shared" si="19"/>
        <v>5.0999999999999996</v>
      </c>
    </row>
    <row r="43" spans="2:21" ht="12.95" customHeight="1" x14ac:dyDescent="0.15">
      <c r="B43" s="549"/>
      <c r="C43" s="169" t="s">
        <v>296</v>
      </c>
      <c r="D43" s="170"/>
      <c r="E43" s="422">
        <f>IF(E45=0.25,IF(E42&lt;5,VLOOKUP(E42,Sheet3!$A$5:$I$50,2,0),Sheet3!$B$50),IF(E42&lt;5,VLOOKUP(E42,Sheet3!$A$5:$I$50,6,0),Sheet3!$F$50))</f>
        <v>0.64400000000000002</v>
      </c>
      <c r="F43" s="422">
        <f>IF(F45=0.25,IF(F42&lt;5,VLOOKUP(F42,Sheet3!$A$5:$I$50,2,0),Sheet3!$B$50),IF(F42&lt;5,VLOOKUP(F42,Sheet3!$A$5:$I$50,6,0),Sheet3!$F$50))</f>
        <v>0.64500000000000002</v>
      </c>
      <c r="G43" s="422">
        <f>IF(G45=0.25,IF(G42&lt;5,VLOOKUP(G42,Sheet3!$A$5:$I$50,2,0),Sheet3!$B$50),IF(G42&lt;5,VLOOKUP(G42,Sheet3!$A$5:$I$50,6,0),Sheet3!$F$50))</f>
        <v>0.64500000000000002</v>
      </c>
      <c r="H43" s="422">
        <f>IF(H45=0.25,IF(H42&lt;5,VLOOKUP(H42,Sheet3!$A$5:$I$50,2,0),Sheet3!$B$50),IF(H42&lt;5,VLOOKUP(H42,Sheet3!$A$5:$I$50,6,0),Sheet3!$F$50))</f>
        <v>0.64500000000000002</v>
      </c>
      <c r="I43" s="422">
        <f>IF(I45=0.25,IF(I42&lt;5,VLOOKUP(I42,Sheet3!$A$5:$I$50,2,0),Sheet3!$B$50),IF(I42&lt;5,VLOOKUP(I42,Sheet3!$A$5:$I$50,6,0),Sheet3!$F$50))</f>
        <v>0.64500000000000002</v>
      </c>
      <c r="J43" s="422">
        <f>IF(J45=0.25,IF(J42&lt;5,VLOOKUP(J42,Sheet3!$A$5:$I$50,2,0),Sheet3!$B$50),IF(J42&lt;5,VLOOKUP(J42,Sheet3!$A$5:$I$50,6,0),Sheet3!$F$50))</f>
        <v>0.64500000000000002</v>
      </c>
      <c r="K43" s="422">
        <f>IF(K45=0.25,IF(K42&lt;5,VLOOKUP(K42,Sheet3!$A$5:$I$50,2,0),Sheet3!$B$50),IF(K42&lt;5,VLOOKUP(K42,Sheet3!$A$5:$I$50,6,0),Sheet3!$F$50))</f>
        <v>0.64500000000000002</v>
      </c>
      <c r="L43" s="422">
        <f>IF(L45=0.25,IF(L42&lt;5,VLOOKUP(L42,Sheet3!$A$5:$I$50,2,0),Sheet3!$B$50),IF(L42&lt;5,VLOOKUP(L42,Sheet3!$A$5:$I$50,6,0),Sheet3!$F$50))</f>
        <v>0.64500000000000002</v>
      </c>
      <c r="M43" s="422">
        <f>IF(M45=0.25,IF(M42&lt;5,VLOOKUP(M42,Sheet3!$A$5:$I$50,2,0),Sheet3!$B$50),IF(M42&lt;5,VLOOKUP(M42,Sheet3!$A$5:$I$50,6,0),Sheet3!$F$50))</f>
        <v>0.64500000000000002</v>
      </c>
      <c r="N43" s="422">
        <f>IF(N45=0.25,IF(N42&lt;5,VLOOKUP(N42,Sheet3!$A$5:$I$50,2,0),Sheet3!$B$50),IF(N42&lt;5,VLOOKUP(N42,Sheet3!$A$5:$I$50,6,0),Sheet3!$F$50))</f>
        <v>0.64500000000000002</v>
      </c>
      <c r="O43" s="422">
        <f>IF(O45=0.25,IF(O42&lt;5,VLOOKUP(O42,Sheet3!$A$5:$I$50,2,0),Sheet3!$B$50),IF(O42&lt;5,VLOOKUP(O42,Sheet3!$A$5:$I$50,6,0),Sheet3!$F$50))</f>
        <v>0.64500000000000002</v>
      </c>
      <c r="P43" s="422">
        <f>IF(P45=0.25,IF(P42&lt;5,VLOOKUP(P42,Sheet3!$A$5:$I$50,2,0),Sheet3!$B$50),IF(P42&lt;5,VLOOKUP(P42,Sheet3!$A$5:$I$50,6,0),Sheet3!$F$50))</f>
        <v>0.64500000000000002</v>
      </c>
      <c r="Q43" s="422">
        <f>IF(Q45=0.25,IF(Q42&lt;5,VLOOKUP(Q42,Sheet3!$A$5:$I$50,2,0),Sheet3!$B$50),IF(Q42&lt;5,VLOOKUP(Q42,Sheet3!$A$5:$I$50,6,0),Sheet3!$F$50))</f>
        <v>0.64500000000000002</v>
      </c>
      <c r="R43" s="422">
        <f>IF(R45=0.25,IF(R42&lt;5,VLOOKUP(R42,Sheet3!$A$5:$I$50,2,0),Sheet3!$B$50),IF(R42&lt;5,VLOOKUP(R42,Sheet3!$A$5:$I$50,6,0),Sheet3!$F$50))</f>
        <v>0.64500000000000002</v>
      </c>
      <c r="S43" s="422">
        <f>IF(S45=0.25,IF(S42&lt;5,VLOOKUP(S42,Sheet3!$A$5:$I$50,2,0),Sheet3!$B$50),IF(S42&lt;5,VLOOKUP(S42,Sheet3!$A$5:$I$50,6,0),Sheet3!$F$50))</f>
        <v>0.64500000000000002</v>
      </c>
    </row>
    <row r="44" spans="2:21" ht="12.95" customHeight="1" x14ac:dyDescent="0.15">
      <c r="B44" s="549"/>
      <c r="C44" s="169" t="s">
        <v>299</v>
      </c>
      <c r="D44" s="170"/>
      <c r="E44" s="422">
        <f>IF(E45=0.25,IF(E42&lt;5,VLOOKUP(E42,Sheet3!$A$5:$I$50,3,0),Sheet3!$C$50),IF(E42&lt;5,VLOOKUP(E42,Sheet3!$A$5:$I$50,7,0),Sheet3!$G$50))</f>
        <v>0</v>
      </c>
      <c r="F44" s="422">
        <f>IF(F45=0.25,IF(F42&lt;5,VLOOKUP(F42,Sheet3!$A$5:$I$50,3,0),Sheet3!$C$50),IF(F42&lt;5,VLOOKUP(F42,Sheet3!$A$5:$I$50,7,0),Sheet3!$G$50))</f>
        <v>0</v>
      </c>
      <c r="G44" s="422">
        <f>IF(G45=0.25,IF(G42&lt;5,VLOOKUP(G42,Sheet3!$A$5:$I$50,3,0),Sheet3!$C$50),IF(G42&lt;5,VLOOKUP(G42,Sheet3!$A$5:$I$50,7,0),Sheet3!$G$50))</f>
        <v>0</v>
      </c>
      <c r="H44" s="422">
        <f>IF(H45=0.25,IF(H42&lt;5,VLOOKUP(H42,Sheet3!$A$5:$I$50,3,0),Sheet3!$C$50),IF(H42&lt;5,VLOOKUP(H42,Sheet3!$A$5:$I$50,7,0),Sheet3!$G$50))</f>
        <v>0</v>
      </c>
      <c r="I44" s="422">
        <f>IF(I45=0.25,IF(I42&lt;5,VLOOKUP(I42,Sheet3!$A$5:$I$50,3,0),Sheet3!$C$50),IF(I42&lt;5,VLOOKUP(I42,Sheet3!$A$5:$I$50,7,0),Sheet3!$G$50))</f>
        <v>0</v>
      </c>
      <c r="J44" s="422">
        <f>IF(J45=0.25,IF(J42&lt;5,VLOOKUP(J42,Sheet3!$A$5:$I$50,3,0),Sheet3!$C$50),IF(J42&lt;5,VLOOKUP(J42,Sheet3!$A$5:$I$50,7,0),Sheet3!$G$50))</f>
        <v>0</v>
      </c>
      <c r="K44" s="422">
        <f>IF(K45=0.25,IF(K42&lt;5,VLOOKUP(K42,Sheet3!$A$5:$I$50,3,0),Sheet3!$C$50),IF(K42&lt;5,VLOOKUP(K42,Sheet3!$A$5:$I$50,7,0),Sheet3!$G$50))</f>
        <v>0</v>
      </c>
      <c r="L44" s="422">
        <f>IF(L45=0.25,IF(L42&lt;5,VLOOKUP(L42,Sheet3!$A$5:$I$50,3,0),Sheet3!$C$50),IF(L42&lt;5,VLOOKUP(L42,Sheet3!$A$5:$I$50,7,0),Sheet3!$G$50))</f>
        <v>0</v>
      </c>
      <c r="M44" s="422">
        <f>IF(M45=0.25,IF(M42&lt;5,VLOOKUP(M42,Sheet3!$A$5:$I$50,3,0),Sheet3!$C$50),IF(M42&lt;5,VLOOKUP(M42,Sheet3!$A$5:$I$50,7,0),Sheet3!$G$50))</f>
        <v>0</v>
      </c>
      <c r="N44" s="422">
        <f>IF(N45=0.25,IF(N42&lt;5,VLOOKUP(N42,Sheet3!$A$5:$I$50,3,0),Sheet3!$C$50),IF(N42&lt;5,VLOOKUP(N42,Sheet3!$A$5:$I$50,7,0),Sheet3!$G$50))</f>
        <v>0</v>
      </c>
      <c r="O44" s="422">
        <f>IF(O45=0.25,IF(O42&lt;5,VLOOKUP(O42,Sheet3!$A$5:$I$50,3,0),Sheet3!$C$50),IF(O42&lt;5,VLOOKUP(O42,Sheet3!$A$5:$I$50,7,0),Sheet3!$G$50))</f>
        <v>0</v>
      </c>
      <c r="P44" s="422">
        <f>IF(P45=0.25,IF(P42&lt;5,VLOOKUP(P42,Sheet3!$A$5:$I$50,3,0),Sheet3!$C$50),IF(P42&lt;5,VLOOKUP(P42,Sheet3!$A$5:$I$50,7,0),Sheet3!$G$50))</f>
        <v>0</v>
      </c>
      <c r="Q44" s="422">
        <f>IF(Q45=0.25,IF(Q42&lt;5,VLOOKUP(Q42,Sheet3!$A$5:$I$50,3,0),Sheet3!$C$50),IF(Q42&lt;5,VLOOKUP(Q42,Sheet3!$A$5:$I$50,7,0),Sheet3!$G$50))</f>
        <v>0</v>
      </c>
      <c r="R44" s="422">
        <f>IF(R45=0.25,IF(R42&lt;5,VLOOKUP(R42,Sheet3!$A$5:$I$50,3,0),Sheet3!$C$50),IF(R42&lt;5,VLOOKUP(R42,Sheet3!$A$5:$I$50,7,0),Sheet3!$G$50))</f>
        <v>0</v>
      </c>
      <c r="S44" s="422">
        <f>IF(S45=0.25,IF(S42&lt;5,VLOOKUP(S42,Sheet3!$A$5:$I$50,3,0),Sheet3!$C$50),IF(S42&lt;5,VLOOKUP(S42,Sheet3!$A$5:$I$50,7,0),Sheet3!$G$50))</f>
        <v>0</v>
      </c>
    </row>
    <row r="45" spans="2:21" ht="12.95" customHeight="1" x14ac:dyDescent="0.15">
      <c r="B45" s="549"/>
      <c r="C45" s="169" t="s">
        <v>301</v>
      </c>
      <c r="D45" s="170"/>
      <c r="E45" s="346">
        <v>0</v>
      </c>
      <c r="F45" s="346">
        <v>0</v>
      </c>
      <c r="G45" s="346">
        <v>0</v>
      </c>
      <c r="H45" s="346">
        <v>0</v>
      </c>
      <c r="I45" s="346">
        <v>0</v>
      </c>
      <c r="J45" s="346">
        <v>0</v>
      </c>
      <c r="K45" s="346">
        <v>0</v>
      </c>
      <c r="L45" s="346">
        <v>0</v>
      </c>
      <c r="M45" s="346">
        <v>0</v>
      </c>
      <c r="N45" s="346">
        <v>0</v>
      </c>
      <c r="O45" s="346">
        <v>0</v>
      </c>
      <c r="P45" s="346">
        <v>0</v>
      </c>
      <c r="Q45" s="346">
        <v>0</v>
      </c>
      <c r="R45" s="346">
        <v>0</v>
      </c>
      <c r="S45" s="346">
        <v>0</v>
      </c>
    </row>
    <row r="46" spans="2:21" ht="12.95" customHeight="1" x14ac:dyDescent="0.15">
      <c r="B46" s="549"/>
      <c r="C46" s="169" t="s">
        <v>303</v>
      </c>
      <c r="D46" s="170" t="s">
        <v>304</v>
      </c>
      <c r="E46" s="416">
        <f t="shared" ref="E46:S46" si="20">ROUNDDOWN(E20/2/E40*E43,2)</f>
        <v>7.64</v>
      </c>
      <c r="F46" s="417">
        <f t="shared" si="20"/>
        <v>7.65</v>
      </c>
      <c r="G46" s="417">
        <f t="shared" si="20"/>
        <v>7.65</v>
      </c>
      <c r="H46" s="417">
        <f t="shared" si="20"/>
        <v>7.65</v>
      </c>
      <c r="I46" s="417">
        <f t="shared" si="20"/>
        <v>5.0999999999999996</v>
      </c>
      <c r="J46" s="417">
        <f t="shared" si="20"/>
        <v>7.65</v>
      </c>
      <c r="K46" s="417">
        <f t="shared" si="20"/>
        <v>7.65</v>
      </c>
      <c r="L46" s="417">
        <f t="shared" si="20"/>
        <v>5.0999999999999996</v>
      </c>
      <c r="M46" s="417">
        <f t="shared" si="20"/>
        <v>7.65</v>
      </c>
      <c r="N46" s="417">
        <f t="shared" si="20"/>
        <v>7.65</v>
      </c>
      <c r="O46" s="417">
        <f t="shared" si="20"/>
        <v>5.0999999999999996</v>
      </c>
      <c r="P46" s="417">
        <f t="shared" si="20"/>
        <v>7.65</v>
      </c>
      <c r="Q46" s="417">
        <f t="shared" si="20"/>
        <v>7.65</v>
      </c>
      <c r="R46" s="417">
        <f t="shared" si="20"/>
        <v>7.65</v>
      </c>
      <c r="S46" s="417">
        <f t="shared" si="20"/>
        <v>7.65</v>
      </c>
    </row>
    <row r="47" spans="2:21" ht="12.95" customHeight="1" x14ac:dyDescent="0.15">
      <c r="B47" s="549"/>
      <c r="C47" s="169" t="s">
        <v>306</v>
      </c>
      <c r="D47" s="170" t="s">
        <v>304</v>
      </c>
      <c r="E47" s="416">
        <f t="shared" ref="E47:S47" si="21">ROUNDDOWN(E20/2/E40*E44,2)</f>
        <v>0</v>
      </c>
      <c r="F47" s="417">
        <f t="shared" si="21"/>
        <v>0</v>
      </c>
      <c r="G47" s="417">
        <f t="shared" si="21"/>
        <v>0</v>
      </c>
      <c r="H47" s="417">
        <f t="shared" si="21"/>
        <v>0</v>
      </c>
      <c r="I47" s="417">
        <f t="shared" si="21"/>
        <v>0</v>
      </c>
      <c r="J47" s="417">
        <f t="shared" si="21"/>
        <v>0</v>
      </c>
      <c r="K47" s="417">
        <f t="shared" si="21"/>
        <v>0</v>
      </c>
      <c r="L47" s="417">
        <f t="shared" si="21"/>
        <v>0</v>
      </c>
      <c r="M47" s="417">
        <f t="shared" si="21"/>
        <v>0</v>
      </c>
      <c r="N47" s="417">
        <f t="shared" si="21"/>
        <v>0</v>
      </c>
      <c r="O47" s="417">
        <f t="shared" si="21"/>
        <v>0</v>
      </c>
      <c r="P47" s="417">
        <f t="shared" si="21"/>
        <v>0</v>
      </c>
      <c r="Q47" s="417">
        <f t="shared" si="21"/>
        <v>0</v>
      </c>
      <c r="R47" s="417">
        <f t="shared" si="21"/>
        <v>0</v>
      </c>
      <c r="S47" s="417">
        <f t="shared" si="21"/>
        <v>0</v>
      </c>
    </row>
    <row r="48" spans="2:21" ht="12.95" customHeight="1" x14ac:dyDescent="0.15">
      <c r="B48" s="545"/>
      <c r="C48" s="171" t="s">
        <v>308</v>
      </c>
      <c r="D48" s="172" t="s">
        <v>304</v>
      </c>
      <c r="E48" s="410">
        <f t="shared" ref="E48:S48" si="22">ROUNDDOWN(MAX(E46:E47),2)</f>
        <v>7.64</v>
      </c>
      <c r="F48" s="411">
        <f t="shared" si="22"/>
        <v>7.65</v>
      </c>
      <c r="G48" s="411">
        <f t="shared" si="22"/>
        <v>7.65</v>
      </c>
      <c r="H48" s="411">
        <f t="shared" si="22"/>
        <v>7.65</v>
      </c>
      <c r="I48" s="411">
        <f t="shared" si="22"/>
        <v>5.0999999999999996</v>
      </c>
      <c r="J48" s="411">
        <f t="shared" si="22"/>
        <v>7.65</v>
      </c>
      <c r="K48" s="411">
        <f t="shared" si="22"/>
        <v>7.65</v>
      </c>
      <c r="L48" s="411">
        <f t="shared" si="22"/>
        <v>5.0999999999999996</v>
      </c>
      <c r="M48" s="411">
        <f t="shared" si="22"/>
        <v>7.65</v>
      </c>
      <c r="N48" s="411">
        <f t="shared" si="22"/>
        <v>7.65</v>
      </c>
      <c r="O48" s="411">
        <f t="shared" si="22"/>
        <v>5.0999999999999996</v>
      </c>
      <c r="P48" s="411">
        <f t="shared" si="22"/>
        <v>7.65</v>
      </c>
      <c r="Q48" s="411">
        <f t="shared" si="22"/>
        <v>7.65</v>
      </c>
      <c r="R48" s="411">
        <f t="shared" si="22"/>
        <v>7.65</v>
      </c>
      <c r="S48" s="411">
        <f t="shared" si="22"/>
        <v>7.65</v>
      </c>
    </row>
    <row r="49" spans="2:19" ht="12.95" customHeight="1" x14ac:dyDescent="0.15">
      <c r="B49" s="574" t="s">
        <v>311</v>
      </c>
      <c r="C49" s="168" t="s">
        <v>312</v>
      </c>
      <c r="D49" s="240" t="s">
        <v>126</v>
      </c>
      <c r="E49" s="424">
        <f>E11/E19</f>
        <v>120.2</v>
      </c>
      <c r="F49" s="425">
        <f t="shared" ref="F49:S49" si="23">(F14+F15+F17)/F19</f>
        <v>24.216077677992786</v>
      </c>
      <c r="G49" s="425">
        <f t="shared" si="23"/>
        <v>13.579687528932512</v>
      </c>
      <c r="H49" s="425">
        <f t="shared" si="23"/>
        <v>25.938159892602542</v>
      </c>
      <c r="I49" s="425">
        <f t="shared" si="23"/>
        <v>25.444796469462716</v>
      </c>
      <c r="J49" s="425">
        <f t="shared" si="23"/>
        <v>24.486208221460984</v>
      </c>
      <c r="K49" s="425">
        <f t="shared" si="23"/>
        <v>23.788370984168139</v>
      </c>
      <c r="L49" s="425">
        <f t="shared" si="23"/>
        <v>23.535123599666704</v>
      </c>
      <c r="M49" s="425">
        <f t="shared" si="23"/>
        <v>22.297025275437466</v>
      </c>
      <c r="N49" s="425">
        <f t="shared" si="23"/>
        <v>23.377547449310253</v>
      </c>
      <c r="O49" s="425">
        <f t="shared" si="23"/>
        <v>24.011603863839778</v>
      </c>
      <c r="P49" s="425">
        <f t="shared" si="23"/>
        <v>24.970192111841502</v>
      </c>
      <c r="Q49" s="425">
        <f t="shared" si="23"/>
        <v>16.145927691880384</v>
      </c>
      <c r="R49" s="425">
        <f t="shared" si="23"/>
        <v>26.422143782983063</v>
      </c>
      <c r="S49" s="425">
        <f t="shared" si="23"/>
        <v>16.472335431904458</v>
      </c>
    </row>
    <row r="50" spans="2:19" ht="12.95" customHeight="1" x14ac:dyDescent="0.15">
      <c r="B50" s="563"/>
      <c r="C50" s="169" t="s">
        <v>315</v>
      </c>
      <c r="D50" s="170" t="s">
        <v>31</v>
      </c>
      <c r="E50" s="426">
        <f t="shared" ref="E50:S50" si="24">(E49/E56)+E48/(2*E39/E27)</f>
        <v>231.00257695063596</v>
      </c>
      <c r="F50" s="426">
        <f t="shared" si="24"/>
        <v>108.89409220779478</v>
      </c>
      <c r="G50" s="426">
        <f t="shared" si="24"/>
        <v>95.351419656779711</v>
      </c>
      <c r="H50" s="426">
        <f t="shared" si="24"/>
        <v>111.08671538272104</v>
      </c>
      <c r="I50" s="426">
        <f t="shared" si="24"/>
        <v>84.438137399188193</v>
      </c>
      <c r="J50" s="426">
        <f t="shared" si="24"/>
        <v>109.2380330979793</v>
      </c>
      <c r="K50" s="426">
        <f t="shared" si="24"/>
        <v>108.34951913166931</v>
      </c>
      <c r="L50" s="426">
        <f t="shared" si="24"/>
        <v>82.006666383856029</v>
      </c>
      <c r="M50" s="426">
        <f t="shared" si="24"/>
        <v>106.45067880044233</v>
      </c>
      <c r="N50" s="426">
        <f t="shared" si="24"/>
        <v>107.82644236118037</v>
      </c>
      <c r="O50" s="426">
        <f t="shared" si="24"/>
        <v>82.613339898487041</v>
      </c>
      <c r="P50" s="426">
        <f t="shared" si="24"/>
        <v>109.85426052622654</v>
      </c>
      <c r="Q50" s="426">
        <f t="shared" si="24"/>
        <v>98.618858113532553</v>
      </c>
      <c r="R50" s="426">
        <f t="shared" si="24"/>
        <v>111.7029428109683</v>
      </c>
      <c r="S50" s="426">
        <f t="shared" si="24"/>
        <v>99.034453355838849</v>
      </c>
    </row>
    <row r="51" spans="2:19" ht="12.95" customHeight="1" x14ac:dyDescent="0.15">
      <c r="B51" s="563"/>
      <c r="C51" s="169" t="s">
        <v>159</v>
      </c>
      <c r="D51" s="170" t="s">
        <v>31</v>
      </c>
      <c r="E51" s="426">
        <f t="shared" ref="E51:S51" si="25">2/3*E37</f>
        <v>533.33333333333326</v>
      </c>
      <c r="F51" s="427">
        <f t="shared" si="25"/>
        <v>533.33333333333326</v>
      </c>
      <c r="G51" s="427">
        <f t="shared" si="25"/>
        <v>533.33333333333326</v>
      </c>
      <c r="H51" s="427">
        <f t="shared" si="25"/>
        <v>533.33333333333326</v>
      </c>
      <c r="I51" s="427">
        <f t="shared" si="25"/>
        <v>533.33333333333326</v>
      </c>
      <c r="J51" s="427">
        <f t="shared" si="25"/>
        <v>533.33333333333326</v>
      </c>
      <c r="K51" s="427">
        <f t="shared" si="25"/>
        <v>533.33333333333326</v>
      </c>
      <c r="L51" s="427">
        <f t="shared" si="25"/>
        <v>533.33333333333326</v>
      </c>
      <c r="M51" s="427">
        <f t="shared" si="25"/>
        <v>533.33333333333326</v>
      </c>
      <c r="N51" s="427">
        <f t="shared" si="25"/>
        <v>533.33333333333326</v>
      </c>
      <c r="O51" s="427">
        <f t="shared" si="25"/>
        <v>533.33333333333326</v>
      </c>
      <c r="P51" s="427">
        <f t="shared" si="25"/>
        <v>533.33333333333326</v>
      </c>
      <c r="Q51" s="427">
        <f t="shared" si="25"/>
        <v>533.33333333333326</v>
      </c>
      <c r="R51" s="427">
        <f t="shared" si="25"/>
        <v>533.33333333333326</v>
      </c>
      <c r="S51" s="427">
        <f t="shared" si="25"/>
        <v>533.33333333333326</v>
      </c>
    </row>
    <row r="52" spans="2:19" ht="12.95" customHeight="1" x14ac:dyDescent="0.15">
      <c r="B52" s="563"/>
      <c r="C52" s="169" t="s">
        <v>319</v>
      </c>
      <c r="D52" s="170"/>
      <c r="E52" s="428" t="str">
        <f t="shared" ref="E52:S52" si="26">IF(E51&gt;E50,"OK","NG")</f>
        <v>OK</v>
      </c>
      <c r="F52" s="429" t="str">
        <f t="shared" si="26"/>
        <v>OK</v>
      </c>
      <c r="G52" s="429" t="str">
        <f t="shared" si="26"/>
        <v>OK</v>
      </c>
      <c r="H52" s="429" t="str">
        <f t="shared" si="26"/>
        <v>OK</v>
      </c>
      <c r="I52" s="429" t="str">
        <f t="shared" si="26"/>
        <v>OK</v>
      </c>
      <c r="J52" s="429" t="str">
        <f t="shared" si="26"/>
        <v>OK</v>
      </c>
      <c r="K52" s="429" t="str">
        <f t="shared" si="26"/>
        <v>OK</v>
      </c>
      <c r="L52" s="429" t="str">
        <f t="shared" si="26"/>
        <v>OK</v>
      </c>
      <c r="M52" s="429" t="str">
        <f t="shared" si="26"/>
        <v>OK</v>
      </c>
      <c r="N52" s="429" t="str">
        <f t="shared" si="26"/>
        <v>OK</v>
      </c>
      <c r="O52" s="429" t="str">
        <f t="shared" si="26"/>
        <v>OK</v>
      </c>
      <c r="P52" s="429" t="str">
        <f t="shared" si="26"/>
        <v>OK</v>
      </c>
      <c r="Q52" s="429" t="str">
        <f t="shared" si="26"/>
        <v>OK</v>
      </c>
      <c r="R52" s="429" t="str">
        <f t="shared" si="26"/>
        <v>OK</v>
      </c>
      <c r="S52" s="429" t="str">
        <f t="shared" si="26"/>
        <v>OK</v>
      </c>
    </row>
    <row r="53" spans="2:19" ht="12.95" customHeight="1" x14ac:dyDescent="0.15">
      <c r="B53" s="563"/>
      <c r="C53" s="169" t="s">
        <v>320</v>
      </c>
      <c r="D53" s="170" t="s">
        <v>31</v>
      </c>
      <c r="E53" s="426">
        <f t="shared" ref="E53:S53" si="27">(E49/E56)-E48/(2*E39/E27)</f>
        <v>75.084209603697175</v>
      </c>
      <c r="F53" s="427">
        <f t="shared" si="27"/>
        <v>-47.228356771797046</v>
      </c>
      <c r="G53" s="427">
        <f t="shared" si="27"/>
        <v>-60.771029322812119</v>
      </c>
      <c r="H53" s="427">
        <f t="shared" si="27"/>
        <v>-45.035733596870799</v>
      </c>
      <c r="I53" s="427">
        <f t="shared" si="27"/>
        <v>-19.643495253873027</v>
      </c>
      <c r="J53" s="427">
        <f t="shared" si="27"/>
        <v>-46.88441588161254</v>
      </c>
      <c r="K53" s="427">
        <f t="shared" si="27"/>
        <v>-47.772929847922526</v>
      </c>
      <c r="L53" s="427">
        <f t="shared" si="27"/>
        <v>-22.074966269205191</v>
      </c>
      <c r="M53" s="427">
        <f t="shared" si="27"/>
        <v>-49.671770179149505</v>
      </c>
      <c r="N53" s="427">
        <f t="shared" si="27"/>
        <v>-48.296006618411468</v>
      </c>
      <c r="O53" s="427">
        <f t="shared" si="27"/>
        <v>-21.468292754574176</v>
      </c>
      <c r="P53" s="427">
        <f t="shared" si="27"/>
        <v>-46.268188453365298</v>
      </c>
      <c r="Q53" s="427">
        <f t="shared" si="27"/>
        <v>-57.503590866059284</v>
      </c>
      <c r="R53" s="427">
        <f t="shared" si="27"/>
        <v>-44.419506168623549</v>
      </c>
      <c r="S53" s="427">
        <f t="shared" si="27"/>
        <v>-57.087995623752995</v>
      </c>
    </row>
    <row r="54" spans="2:19" ht="12.95" customHeight="1" x14ac:dyDescent="0.15">
      <c r="B54" s="563"/>
      <c r="C54" s="169" t="s">
        <v>322</v>
      </c>
      <c r="D54" s="170" t="s">
        <v>31</v>
      </c>
      <c r="E54" s="426">
        <f t="shared" ref="E54:S54" si="28">-0.2*E51</f>
        <v>-106.66666666666666</v>
      </c>
      <c r="F54" s="427">
        <f t="shared" si="28"/>
        <v>-106.66666666666666</v>
      </c>
      <c r="G54" s="427">
        <f t="shared" si="28"/>
        <v>-106.66666666666666</v>
      </c>
      <c r="H54" s="427">
        <f t="shared" si="28"/>
        <v>-106.66666666666666</v>
      </c>
      <c r="I54" s="427">
        <f t="shared" si="28"/>
        <v>-106.66666666666666</v>
      </c>
      <c r="J54" s="427">
        <f t="shared" si="28"/>
        <v>-106.66666666666666</v>
      </c>
      <c r="K54" s="427">
        <f t="shared" si="28"/>
        <v>-106.66666666666666</v>
      </c>
      <c r="L54" s="427">
        <f t="shared" si="28"/>
        <v>-106.66666666666666</v>
      </c>
      <c r="M54" s="427">
        <f t="shared" si="28"/>
        <v>-106.66666666666666</v>
      </c>
      <c r="N54" s="427">
        <f t="shared" si="28"/>
        <v>-106.66666666666666</v>
      </c>
      <c r="O54" s="427">
        <f t="shared" si="28"/>
        <v>-106.66666666666666</v>
      </c>
      <c r="P54" s="427">
        <f t="shared" si="28"/>
        <v>-106.66666666666666</v>
      </c>
      <c r="Q54" s="427">
        <f t="shared" si="28"/>
        <v>-106.66666666666666</v>
      </c>
      <c r="R54" s="427">
        <f t="shared" si="28"/>
        <v>-106.66666666666666</v>
      </c>
      <c r="S54" s="427">
        <f t="shared" si="28"/>
        <v>-106.66666666666666</v>
      </c>
    </row>
    <row r="55" spans="2:19" ht="12.95" customHeight="1" x14ac:dyDescent="0.15">
      <c r="B55" s="564"/>
      <c r="C55" s="171" t="s">
        <v>324</v>
      </c>
      <c r="D55" s="172"/>
      <c r="E55" s="430" t="str">
        <f t="shared" ref="E55:S55" si="29">IF(E53&gt;E54,"OK","NG")</f>
        <v>OK</v>
      </c>
      <c r="F55" s="431" t="str">
        <f t="shared" si="29"/>
        <v>OK</v>
      </c>
      <c r="G55" s="431" t="str">
        <f t="shared" si="29"/>
        <v>OK</v>
      </c>
      <c r="H55" s="431" t="str">
        <f t="shared" si="29"/>
        <v>OK</v>
      </c>
      <c r="I55" s="431" t="str">
        <f t="shared" si="29"/>
        <v>OK</v>
      </c>
      <c r="J55" s="431" t="str">
        <f t="shared" si="29"/>
        <v>OK</v>
      </c>
      <c r="K55" s="431" t="str">
        <f t="shared" si="29"/>
        <v>OK</v>
      </c>
      <c r="L55" s="431" t="str">
        <f t="shared" si="29"/>
        <v>OK</v>
      </c>
      <c r="M55" s="431" t="str">
        <f t="shared" si="29"/>
        <v>OK</v>
      </c>
      <c r="N55" s="431" t="str">
        <f t="shared" si="29"/>
        <v>OK</v>
      </c>
      <c r="O55" s="431" t="str">
        <f t="shared" si="29"/>
        <v>OK</v>
      </c>
      <c r="P55" s="431" t="str">
        <f t="shared" si="29"/>
        <v>OK</v>
      </c>
      <c r="Q55" s="431" t="str">
        <f t="shared" si="29"/>
        <v>OK</v>
      </c>
      <c r="R55" s="431" t="str">
        <f t="shared" si="29"/>
        <v>OK</v>
      </c>
      <c r="S55" s="431" t="str">
        <f t="shared" si="29"/>
        <v>OK</v>
      </c>
    </row>
    <row r="56" spans="2:19" ht="12.95" customHeight="1" x14ac:dyDescent="0.15">
      <c r="B56" s="574" t="s">
        <v>326</v>
      </c>
      <c r="C56" s="168" t="s">
        <v>65</v>
      </c>
      <c r="D56" s="240" t="s">
        <v>66</v>
      </c>
      <c r="E56" s="432">
        <f t="shared" ref="E56:S56" si="30">(E26/2)^2*PI()</f>
        <v>0.78539816339744828</v>
      </c>
      <c r="F56" s="433">
        <f t="shared" si="30"/>
        <v>0.78539816339744828</v>
      </c>
      <c r="G56" s="433">
        <f t="shared" si="30"/>
        <v>0.78539816339744828</v>
      </c>
      <c r="H56" s="433">
        <f t="shared" si="30"/>
        <v>0.78539816339744828</v>
      </c>
      <c r="I56" s="433">
        <f t="shared" si="30"/>
        <v>0.78539816339744828</v>
      </c>
      <c r="J56" s="433">
        <f t="shared" si="30"/>
        <v>0.78539816339744828</v>
      </c>
      <c r="K56" s="433">
        <f t="shared" si="30"/>
        <v>0.78539816339744828</v>
      </c>
      <c r="L56" s="433">
        <f t="shared" si="30"/>
        <v>0.78539816339744828</v>
      </c>
      <c r="M56" s="433">
        <f t="shared" si="30"/>
        <v>0.78539816339744828</v>
      </c>
      <c r="N56" s="433">
        <f t="shared" si="30"/>
        <v>0.78539816339744828</v>
      </c>
      <c r="O56" s="433">
        <f t="shared" si="30"/>
        <v>0.78539816339744828</v>
      </c>
      <c r="P56" s="433">
        <f t="shared" si="30"/>
        <v>0.78539816339744828</v>
      </c>
      <c r="Q56" s="433">
        <f t="shared" si="30"/>
        <v>0.78539816339744828</v>
      </c>
      <c r="R56" s="433">
        <f t="shared" si="30"/>
        <v>0.78539816339744828</v>
      </c>
      <c r="S56" s="433">
        <f t="shared" si="30"/>
        <v>0.78539816339744828</v>
      </c>
    </row>
    <row r="57" spans="2:19" ht="12.95" customHeight="1" x14ac:dyDescent="0.15">
      <c r="B57" s="563"/>
      <c r="C57" s="169" t="s">
        <v>329</v>
      </c>
      <c r="D57" s="170" t="s">
        <v>31</v>
      </c>
      <c r="E57" s="426">
        <f t="shared" ref="E57:S57" si="31">E20/E56</f>
        <v>17.2257062500742</v>
      </c>
      <c r="F57" s="427">
        <f t="shared" si="31"/>
        <v>17.2257062500742</v>
      </c>
      <c r="G57" s="427">
        <f t="shared" si="31"/>
        <v>17.2257062500742</v>
      </c>
      <c r="H57" s="427">
        <f t="shared" si="31"/>
        <v>17.2257062500742</v>
      </c>
      <c r="I57" s="427">
        <f t="shared" si="31"/>
        <v>11.483804166716135</v>
      </c>
      <c r="J57" s="427">
        <f t="shared" si="31"/>
        <v>17.2257062500742</v>
      </c>
      <c r="K57" s="427">
        <f t="shared" si="31"/>
        <v>17.2257062500742</v>
      </c>
      <c r="L57" s="427">
        <f t="shared" si="31"/>
        <v>11.483804166716135</v>
      </c>
      <c r="M57" s="427">
        <f t="shared" si="31"/>
        <v>17.2257062500742</v>
      </c>
      <c r="N57" s="427">
        <f t="shared" si="31"/>
        <v>17.2257062500742</v>
      </c>
      <c r="O57" s="427">
        <f t="shared" si="31"/>
        <v>11.483804166716135</v>
      </c>
      <c r="P57" s="427">
        <f t="shared" si="31"/>
        <v>17.2257062500742</v>
      </c>
      <c r="Q57" s="427">
        <f t="shared" si="31"/>
        <v>17.2257062500742</v>
      </c>
      <c r="R57" s="427">
        <f t="shared" si="31"/>
        <v>17.2257062500742</v>
      </c>
      <c r="S57" s="427">
        <f t="shared" si="31"/>
        <v>17.2257062500742</v>
      </c>
    </row>
    <row r="58" spans="2:19" ht="12.95" customHeight="1" x14ac:dyDescent="0.15">
      <c r="B58" s="563"/>
      <c r="C58" s="169" t="s">
        <v>331</v>
      </c>
      <c r="D58" s="170" t="s">
        <v>31</v>
      </c>
      <c r="E58" s="426">
        <f t="shared" ref="E58:S58" si="32">MIN((0.3*E37+E57*TAN(30*PI()/180)),0.5*E37)</f>
        <v>249.94526614046177</v>
      </c>
      <c r="F58" s="427">
        <f t="shared" si="32"/>
        <v>249.94526614046177</v>
      </c>
      <c r="G58" s="427">
        <f t="shared" si="32"/>
        <v>249.94526614046177</v>
      </c>
      <c r="H58" s="427">
        <f t="shared" si="32"/>
        <v>249.94526614046177</v>
      </c>
      <c r="I58" s="427">
        <f t="shared" si="32"/>
        <v>246.63017742697451</v>
      </c>
      <c r="J58" s="427">
        <f t="shared" si="32"/>
        <v>249.94526614046177</v>
      </c>
      <c r="K58" s="427">
        <f t="shared" si="32"/>
        <v>249.94526614046177</v>
      </c>
      <c r="L58" s="427">
        <f t="shared" si="32"/>
        <v>246.63017742697451</v>
      </c>
      <c r="M58" s="427">
        <f t="shared" si="32"/>
        <v>249.94526614046177</v>
      </c>
      <c r="N58" s="427">
        <f t="shared" si="32"/>
        <v>249.94526614046177</v>
      </c>
      <c r="O58" s="427">
        <f t="shared" si="32"/>
        <v>246.63017742697451</v>
      </c>
      <c r="P58" s="427">
        <f t="shared" si="32"/>
        <v>249.94526614046177</v>
      </c>
      <c r="Q58" s="427">
        <f t="shared" si="32"/>
        <v>249.94526614046177</v>
      </c>
      <c r="R58" s="427">
        <f t="shared" si="32"/>
        <v>249.94526614046177</v>
      </c>
      <c r="S58" s="427">
        <f t="shared" si="32"/>
        <v>249.94526614046177</v>
      </c>
    </row>
    <row r="59" spans="2:19" ht="12.95" customHeight="1" x14ac:dyDescent="0.15">
      <c r="B59" s="563"/>
      <c r="C59" s="169" t="s">
        <v>333</v>
      </c>
      <c r="D59" s="170" t="s">
        <v>31</v>
      </c>
      <c r="E59" s="426">
        <f t="shared" ref="E59:S59" si="33">2/3*E58</f>
        <v>166.63017742697451</v>
      </c>
      <c r="F59" s="427">
        <f t="shared" si="33"/>
        <v>166.63017742697451</v>
      </c>
      <c r="G59" s="427">
        <f t="shared" si="33"/>
        <v>166.63017742697451</v>
      </c>
      <c r="H59" s="427">
        <f t="shared" si="33"/>
        <v>166.63017742697451</v>
      </c>
      <c r="I59" s="427">
        <f t="shared" si="33"/>
        <v>164.42011828464967</v>
      </c>
      <c r="J59" s="427">
        <f t="shared" si="33"/>
        <v>166.63017742697451</v>
      </c>
      <c r="K59" s="427">
        <f t="shared" si="33"/>
        <v>166.63017742697451</v>
      </c>
      <c r="L59" s="427">
        <f t="shared" si="33"/>
        <v>164.42011828464967</v>
      </c>
      <c r="M59" s="427">
        <f t="shared" si="33"/>
        <v>166.63017742697451</v>
      </c>
      <c r="N59" s="427">
        <f t="shared" si="33"/>
        <v>166.63017742697451</v>
      </c>
      <c r="O59" s="427">
        <f t="shared" si="33"/>
        <v>164.42011828464967</v>
      </c>
      <c r="P59" s="427">
        <f t="shared" si="33"/>
        <v>166.63017742697451</v>
      </c>
      <c r="Q59" s="427">
        <f t="shared" si="33"/>
        <v>166.63017742697451</v>
      </c>
      <c r="R59" s="427">
        <f t="shared" si="33"/>
        <v>166.63017742697451</v>
      </c>
      <c r="S59" s="427">
        <f t="shared" si="33"/>
        <v>166.63017742697451</v>
      </c>
    </row>
    <row r="60" spans="2:19" ht="12.95" customHeight="1" x14ac:dyDescent="0.15">
      <c r="B60" s="563"/>
      <c r="C60" s="169" t="s">
        <v>334</v>
      </c>
      <c r="D60" s="170" t="s">
        <v>31</v>
      </c>
      <c r="E60" s="426">
        <f t="shared" ref="E60:S60" si="34">4/3*(E20/E56)</f>
        <v>22.967608333432267</v>
      </c>
      <c r="F60" s="427">
        <f t="shared" si="34"/>
        <v>22.967608333432267</v>
      </c>
      <c r="G60" s="427">
        <f t="shared" si="34"/>
        <v>22.967608333432267</v>
      </c>
      <c r="H60" s="427">
        <f t="shared" si="34"/>
        <v>22.967608333432267</v>
      </c>
      <c r="I60" s="427">
        <f t="shared" si="34"/>
        <v>15.311738888954846</v>
      </c>
      <c r="J60" s="427">
        <f t="shared" si="34"/>
        <v>22.967608333432267</v>
      </c>
      <c r="K60" s="427">
        <f t="shared" si="34"/>
        <v>22.967608333432267</v>
      </c>
      <c r="L60" s="427">
        <f t="shared" si="34"/>
        <v>15.311738888954846</v>
      </c>
      <c r="M60" s="427">
        <f t="shared" si="34"/>
        <v>22.967608333432267</v>
      </c>
      <c r="N60" s="427">
        <f t="shared" si="34"/>
        <v>22.967608333432267</v>
      </c>
      <c r="O60" s="427">
        <f t="shared" si="34"/>
        <v>15.311738888954846</v>
      </c>
      <c r="P60" s="427">
        <f t="shared" si="34"/>
        <v>22.967608333432267</v>
      </c>
      <c r="Q60" s="427">
        <f t="shared" si="34"/>
        <v>22.967608333432267</v>
      </c>
      <c r="R60" s="427">
        <f t="shared" si="34"/>
        <v>22.967608333432267</v>
      </c>
      <c r="S60" s="427">
        <f t="shared" si="34"/>
        <v>22.967608333432267</v>
      </c>
    </row>
    <row r="61" spans="2:19" ht="12.95" customHeight="1" x14ac:dyDescent="0.15">
      <c r="B61" s="564"/>
      <c r="C61" s="171" t="s">
        <v>336</v>
      </c>
      <c r="D61" s="172"/>
      <c r="E61" s="430" t="str">
        <f t="shared" ref="E61:S61" si="35">IF(E59&gt;E60,"OK","NG")</f>
        <v>OK</v>
      </c>
      <c r="F61" s="431" t="str">
        <f t="shared" si="35"/>
        <v>OK</v>
      </c>
      <c r="G61" s="431" t="str">
        <f t="shared" si="35"/>
        <v>OK</v>
      </c>
      <c r="H61" s="431" t="str">
        <f t="shared" si="35"/>
        <v>OK</v>
      </c>
      <c r="I61" s="431" t="str">
        <f t="shared" si="35"/>
        <v>OK</v>
      </c>
      <c r="J61" s="431" t="str">
        <f t="shared" si="35"/>
        <v>OK</v>
      </c>
      <c r="K61" s="431" t="str">
        <f t="shared" si="35"/>
        <v>OK</v>
      </c>
      <c r="L61" s="431" t="str">
        <f t="shared" si="35"/>
        <v>OK</v>
      </c>
      <c r="M61" s="431" t="str">
        <f t="shared" si="35"/>
        <v>OK</v>
      </c>
      <c r="N61" s="431" t="str">
        <f t="shared" si="35"/>
        <v>OK</v>
      </c>
      <c r="O61" s="431" t="str">
        <f t="shared" si="35"/>
        <v>OK</v>
      </c>
      <c r="P61" s="431" t="str">
        <f t="shared" si="35"/>
        <v>OK</v>
      </c>
      <c r="Q61" s="431" t="str">
        <f t="shared" si="35"/>
        <v>OK</v>
      </c>
      <c r="R61" s="431" t="str">
        <f t="shared" si="35"/>
        <v>OK</v>
      </c>
      <c r="S61" s="431" t="str">
        <f t="shared" si="35"/>
        <v>OK</v>
      </c>
    </row>
    <row r="62" spans="2:19" ht="12" customHeight="1" x14ac:dyDescent="0.15"/>
    <row r="63" spans="2:19" ht="12" customHeight="1" x14ac:dyDescent="0.15"/>
    <row r="64" spans="2:19"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S52">
    <cfRule type="cellIs" dxfId="7" priority="1" stopIfTrue="1" operator="equal">
      <formula>"NG"</formula>
    </cfRule>
  </conditionalFormatting>
  <conditionalFormatting sqref="E55:S55 E61:S61">
    <cfRule type="cellIs" dxfId="6" priority="2" stopIfTrue="1" operator="equal">
      <formula>"NG"</formula>
    </cfRule>
  </conditionalFormatting>
  <pageMargins left="0.7" right="0.7" top="0.75" bottom="0.75" header="0.3" footer="0.3"/>
  <pageSetup paperSize="9" fitToWidth="2" orientation="portrait" blackAndWhite="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65"/>
  <sheetViews>
    <sheetView topLeftCell="A10" zoomScale="85" zoomScaleNormal="85" zoomScaleSheetLayoutView="100" workbookViewId="0">
      <selection activeCell="H38" sqref="H38"/>
    </sheetView>
  </sheetViews>
  <sheetFormatPr defaultRowHeight="14.25" x14ac:dyDescent="0.15"/>
  <cols>
    <col min="1" max="1" width="4.625" style="173" customWidth="1"/>
    <col min="2" max="19" width="9.625" style="173" customWidth="1"/>
    <col min="20" max="33" width="9" style="173" customWidth="1"/>
    <col min="34" max="16384" width="9" style="173"/>
  </cols>
  <sheetData>
    <row r="1" spans="2:19" ht="12.95" customHeight="1" x14ac:dyDescent="0.15">
      <c r="B1" s="173" t="s">
        <v>233</v>
      </c>
    </row>
    <row r="2" spans="2:19" ht="12.95" customHeight="1" x14ac:dyDescent="0.15"/>
    <row r="3" spans="2:19" ht="12.95" customHeight="1" x14ac:dyDescent="0.15">
      <c r="C3" s="160" t="s">
        <v>359</v>
      </c>
      <c r="D3" s="396">
        <f>+'L+Ex'!D3</f>
        <v>481.9</v>
      </c>
      <c r="E3" s="173" t="s">
        <v>360</v>
      </c>
      <c r="G3" s="160" t="s">
        <v>361</v>
      </c>
      <c r="H3" s="397">
        <v>0.1</v>
      </c>
      <c r="I3" s="398"/>
    </row>
    <row r="4" spans="2:19" ht="12.95" customHeight="1" x14ac:dyDescent="0.15">
      <c r="C4" s="160" t="s">
        <v>362</v>
      </c>
      <c r="D4" s="396">
        <f>+H6</f>
        <v>247.52000000000004</v>
      </c>
      <c r="E4" s="173" t="s">
        <v>358</v>
      </c>
      <c r="G4" s="160" t="s">
        <v>363</v>
      </c>
      <c r="H4" s="397">
        <v>0.8</v>
      </c>
      <c r="I4" s="161"/>
    </row>
    <row r="5" spans="2:19" ht="12.95" customHeight="1" x14ac:dyDescent="0.15">
      <c r="C5" s="160" t="s">
        <v>364</v>
      </c>
      <c r="D5" s="399">
        <f>SUM(D3:D4)</f>
        <v>729.42000000000007</v>
      </c>
      <c r="E5" s="173" t="s">
        <v>358</v>
      </c>
      <c r="G5" s="160" t="s">
        <v>365</v>
      </c>
      <c r="H5" s="397">
        <f>+'L+Ex'!H5</f>
        <v>3094</v>
      </c>
      <c r="I5" s="161" t="s">
        <v>358</v>
      </c>
    </row>
    <row r="6" spans="2:19" ht="12.95" customHeight="1" x14ac:dyDescent="0.15">
      <c r="G6" s="160" t="s">
        <v>366</v>
      </c>
      <c r="H6" s="400">
        <f>H3*H4*H5</f>
        <v>247.52000000000004</v>
      </c>
      <c r="I6" s="162" t="s">
        <v>358</v>
      </c>
    </row>
    <row r="7" spans="2:19" ht="12.95" customHeight="1" x14ac:dyDescent="0.15"/>
    <row r="8" spans="2:19" s="230" customFormat="1" ht="12.95" customHeight="1" x14ac:dyDescent="0.15">
      <c r="B8" s="581" t="s">
        <v>5</v>
      </c>
      <c r="C8" s="548"/>
      <c r="D8" s="174"/>
      <c r="E8" s="174" t="s">
        <v>7</v>
      </c>
      <c r="F8" s="175" t="s">
        <v>7</v>
      </c>
      <c r="G8" s="175" t="s">
        <v>7</v>
      </c>
      <c r="H8" s="175" t="s">
        <v>7</v>
      </c>
      <c r="I8" s="175" t="s">
        <v>8</v>
      </c>
      <c r="J8" s="176" t="s">
        <v>7</v>
      </c>
      <c r="K8" s="177" t="s">
        <v>7</v>
      </c>
      <c r="L8" s="177" t="s">
        <v>8</v>
      </c>
      <c r="M8" s="177" t="s">
        <v>7</v>
      </c>
      <c r="N8" s="177" t="s">
        <v>7</v>
      </c>
      <c r="O8" s="177" t="s">
        <v>8</v>
      </c>
      <c r="P8" s="177" t="s">
        <v>7</v>
      </c>
      <c r="Q8" s="177" t="s">
        <v>7</v>
      </c>
      <c r="R8" s="177" t="s">
        <v>7</v>
      </c>
      <c r="S8" s="177" t="s">
        <v>7</v>
      </c>
    </row>
    <row r="9" spans="2:19" s="230" customFormat="1" ht="12.95" customHeight="1" x14ac:dyDescent="0.15">
      <c r="B9" s="582" t="s">
        <v>367</v>
      </c>
      <c r="C9" s="552"/>
      <c r="D9" s="227"/>
      <c r="E9" s="227" t="s">
        <v>349</v>
      </c>
      <c r="F9" s="228" t="s">
        <v>350</v>
      </c>
      <c r="G9" s="228" t="s">
        <v>351</v>
      </c>
      <c r="H9" s="228" t="s">
        <v>349</v>
      </c>
      <c r="I9" s="228" t="s">
        <v>350</v>
      </c>
      <c r="J9" s="164" t="s">
        <v>351</v>
      </c>
      <c r="K9" s="229" t="s">
        <v>349</v>
      </c>
      <c r="L9" s="229" t="s">
        <v>350</v>
      </c>
      <c r="M9" s="229" t="s">
        <v>351</v>
      </c>
      <c r="N9" s="229" t="s">
        <v>349</v>
      </c>
      <c r="O9" s="229" t="s">
        <v>350</v>
      </c>
      <c r="P9" s="229" t="s">
        <v>351</v>
      </c>
      <c r="Q9" s="229" t="s">
        <v>349</v>
      </c>
      <c r="R9" s="229" t="s">
        <v>350</v>
      </c>
      <c r="S9" s="229" t="s">
        <v>351</v>
      </c>
    </row>
    <row r="10" spans="2:19" s="230" customFormat="1" ht="12.95" customHeight="1" x14ac:dyDescent="0.15">
      <c r="B10" s="578" t="s">
        <v>368</v>
      </c>
      <c r="C10" s="555"/>
      <c r="D10" s="166"/>
      <c r="E10" s="233" t="s">
        <v>352</v>
      </c>
      <c r="F10" s="234" t="s">
        <v>352</v>
      </c>
      <c r="G10" s="234" t="s">
        <v>352</v>
      </c>
      <c r="H10" s="234" t="s">
        <v>353</v>
      </c>
      <c r="I10" s="234" t="s">
        <v>353</v>
      </c>
      <c r="J10" s="167" t="s">
        <v>353</v>
      </c>
      <c r="K10" s="178" t="s">
        <v>354</v>
      </c>
      <c r="L10" s="178" t="s">
        <v>354</v>
      </c>
      <c r="M10" s="178" t="s">
        <v>354</v>
      </c>
      <c r="N10" s="178" t="s">
        <v>355</v>
      </c>
      <c r="O10" s="178" t="s">
        <v>355</v>
      </c>
      <c r="P10" s="178" t="s">
        <v>355</v>
      </c>
      <c r="Q10" s="178" t="s">
        <v>356</v>
      </c>
      <c r="R10" s="178" t="s">
        <v>356</v>
      </c>
      <c r="S10" s="178" t="s">
        <v>356</v>
      </c>
    </row>
    <row r="11" spans="2:19" s="230" customFormat="1" ht="12.95" customHeight="1" x14ac:dyDescent="0.15">
      <c r="B11" s="569" t="s">
        <v>238</v>
      </c>
      <c r="C11" s="168" t="s">
        <v>50</v>
      </c>
      <c r="D11" s="240" t="s">
        <v>20</v>
      </c>
      <c r="E11" s="401">
        <v>309.5</v>
      </c>
      <c r="F11" s="402">
        <v>514.79999999999995</v>
      </c>
      <c r="G11" s="402">
        <v>310.60000000000002</v>
      </c>
      <c r="H11" s="402">
        <v>442.4</v>
      </c>
      <c r="I11" s="402">
        <v>652.79999999999995</v>
      </c>
      <c r="J11" s="403">
        <v>416.8</v>
      </c>
      <c r="K11" s="230">
        <v>420.7</v>
      </c>
      <c r="L11" s="230">
        <v>625</v>
      </c>
      <c r="M11" s="230">
        <v>394.2</v>
      </c>
      <c r="N11" s="230">
        <v>436</v>
      </c>
      <c r="O11" s="230">
        <v>668.1</v>
      </c>
      <c r="P11" s="230">
        <v>464</v>
      </c>
      <c r="Q11" s="230">
        <v>217.7</v>
      </c>
      <c r="R11" s="230">
        <v>384.7</v>
      </c>
      <c r="S11" s="394">
        <v>223.4</v>
      </c>
    </row>
    <row r="12" spans="2:19" s="230" customFormat="1" ht="12.95" customHeight="1" x14ac:dyDescent="0.15">
      <c r="B12" s="549"/>
      <c r="C12" s="169" t="s">
        <v>250</v>
      </c>
      <c r="D12" s="170" t="s">
        <v>20</v>
      </c>
      <c r="E12" s="346">
        <f>SUM(E11:S11)</f>
        <v>6480.7</v>
      </c>
      <c r="F12" s="346">
        <f>SUM(E13:S13)</f>
        <v>1</v>
      </c>
      <c r="G12" s="346"/>
      <c r="H12" s="346"/>
      <c r="I12" s="346"/>
      <c r="J12" s="346"/>
      <c r="K12" s="346"/>
      <c r="L12" s="346"/>
      <c r="M12" s="346"/>
      <c r="N12" s="346"/>
      <c r="O12" s="346"/>
      <c r="P12" s="346"/>
      <c r="Q12" s="346"/>
      <c r="R12" s="346"/>
    </row>
    <row r="13" spans="2:19" s="230" customFormat="1" ht="12.95" customHeight="1" x14ac:dyDescent="0.15">
      <c r="B13" s="549"/>
      <c r="C13" s="169" t="s">
        <v>369</v>
      </c>
      <c r="D13" s="170" t="s">
        <v>20</v>
      </c>
      <c r="E13" s="352">
        <f>IF(E11="","",E11/E12)</f>
        <v>4.7757186723656399E-2</v>
      </c>
      <c r="F13" s="352">
        <f t="shared" ref="F13:S13" si="0">IF(F11="","",F11/$E12)</f>
        <v>7.9435863409816843E-2</v>
      </c>
      <c r="G13" s="352">
        <f t="shared" si="0"/>
        <v>4.7926921474532078E-2</v>
      </c>
      <c r="H13" s="352">
        <f t="shared" si="0"/>
        <v>6.8264230715817734E-2</v>
      </c>
      <c r="I13" s="352">
        <f t="shared" si="0"/>
        <v>0.1007298594287654</v>
      </c>
      <c r="J13" s="352">
        <f t="shared" si="0"/>
        <v>6.4314040149983806E-2</v>
      </c>
      <c r="K13" s="352">
        <f t="shared" si="0"/>
        <v>6.4915826993997561E-2</v>
      </c>
      <c r="L13" s="352">
        <f t="shared" si="0"/>
        <v>9.6440199361180118E-2</v>
      </c>
      <c r="M13" s="352">
        <f t="shared" si="0"/>
        <v>6.0826762541083525E-2</v>
      </c>
      <c r="N13" s="352">
        <f t="shared" si="0"/>
        <v>6.7276683074359259E-2</v>
      </c>
      <c r="O13" s="352">
        <f t="shared" si="0"/>
        <v>0.1030907155091271</v>
      </c>
      <c r="P13" s="352">
        <f t="shared" si="0"/>
        <v>7.1597204005740128E-2</v>
      </c>
      <c r="Q13" s="352">
        <f t="shared" si="0"/>
        <v>3.359205024148626E-2</v>
      </c>
      <c r="R13" s="352">
        <f t="shared" si="0"/>
        <v>5.9360871510793584E-2</v>
      </c>
      <c r="S13" s="352">
        <f t="shared" si="0"/>
        <v>3.4471584859660225E-2</v>
      </c>
    </row>
    <row r="14" spans="2:19" s="230" customFormat="1" ht="12.95" customHeight="1" x14ac:dyDescent="0.15">
      <c r="B14" s="549"/>
      <c r="C14" s="169" t="s">
        <v>370</v>
      </c>
      <c r="D14" s="170" t="s">
        <v>126</v>
      </c>
      <c r="E14" s="355">
        <f>+D5</f>
        <v>729.42000000000007</v>
      </c>
      <c r="F14" s="354"/>
      <c r="G14" s="354"/>
      <c r="H14" s="354"/>
      <c r="I14" s="354"/>
      <c r="J14" s="404"/>
    </row>
    <row r="15" spans="2:19" s="230" customFormat="1" ht="12.95" customHeight="1" x14ac:dyDescent="0.15">
      <c r="B15" s="549"/>
      <c r="C15" s="169" t="s">
        <v>371</v>
      </c>
      <c r="D15" s="170" t="s">
        <v>126</v>
      </c>
      <c r="E15" s="355">
        <f t="shared" ref="E15:S15" si="1">IF(E13="","",E13*$E14)</f>
        <v>34.835047139969454</v>
      </c>
      <c r="F15" s="355">
        <f t="shared" si="1"/>
        <v>57.942107488388608</v>
      </c>
      <c r="G15" s="355">
        <f t="shared" si="1"/>
        <v>34.958855061953194</v>
      </c>
      <c r="H15" s="355">
        <f t="shared" si="1"/>
        <v>49.793295168731774</v>
      </c>
      <c r="I15" s="355">
        <f t="shared" si="1"/>
        <v>73.474374064530068</v>
      </c>
      <c r="J15" s="355">
        <f t="shared" si="1"/>
        <v>46.911947166201195</v>
      </c>
      <c r="K15" s="355">
        <f t="shared" si="1"/>
        <v>47.350902525961708</v>
      </c>
      <c r="L15" s="355">
        <f t="shared" si="1"/>
        <v>70.345410218032015</v>
      </c>
      <c r="M15" s="355">
        <f t="shared" si="1"/>
        <v>44.368257132717147</v>
      </c>
      <c r="N15" s="355">
        <f t="shared" si="1"/>
        <v>49.072958168099134</v>
      </c>
      <c r="O15" s="355">
        <f t="shared" si="1"/>
        <v>75.196429706667502</v>
      </c>
      <c r="P15" s="355">
        <f t="shared" si="1"/>
        <v>52.224432545866968</v>
      </c>
      <c r="Q15" s="355">
        <f t="shared" si="1"/>
        <v>24.50271328714491</v>
      </c>
      <c r="R15" s="355">
        <f t="shared" si="1"/>
        <v>43.299006897403061</v>
      </c>
      <c r="S15" s="355">
        <f t="shared" si="1"/>
        <v>25.144263428333364</v>
      </c>
    </row>
    <row r="16" spans="2:19" s="230" customFormat="1" ht="12.95" customHeight="1" x14ac:dyDescent="0.15">
      <c r="B16" s="549"/>
      <c r="C16" s="169"/>
      <c r="D16" s="170"/>
      <c r="E16" s="355"/>
      <c r="F16" s="354"/>
      <c r="G16" s="354"/>
      <c r="H16" s="354"/>
      <c r="I16" s="354"/>
      <c r="J16" s="404"/>
    </row>
    <row r="17" spans="2:19" s="230" customFormat="1" ht="12.95" customHeight="1" x14ac:dyDescent="0.15">
      <c r="B17" s="549"/>
      <c r="C17" s="169"/>
      <c r="D17" s="170"/>
      <c r="E17" s="355"/>
      <c r="F17" s="354"/>
      <c r="G17" s="354"/>
      <c r="H17" s="354"/>
      <c r="I17" s="354"/>
      <c r="J17" s="404"/>
    </row>
    <row r="18" spans="2:19" s="230" customFormat="1" ht="12.95" customHeight="1" x14ac:dyDescent="0.15">
      <c r="B18" s="549"/>
      <c r="C18" s="230" t="s">
        <v>70</v>
      </c>
      <c r="D18" s="170" t="s">
        <v>372</v>
      </c>
      <c r="E18" s="230">
        <v>2</v>
      </c>
      <c r="F18" s="230">
        <v>2</v>
      </c>
      <c r="G18" s="230">
        <v>2</v>
      </c>
      <c r="H18" s="230">
        <v>2</v>
      </c>
      <c r="I18" s="230">
        <v>3</v>
      </c>
      <c r="J18" s="230">
        <v>2</v>
      </c>
      <c r="K18" s="230">
        <v>2</v>
      </c>
      <c r="L18" s="230">
        <v>3</v>
      </c>
      <c r="M18" s="230">
        <v>2</v>
      </c>
      <c r="N18" s="230">
        <v>2</v>
      </c>
      <c r="O18" s="230">
        <v>3</v>
      </c>
      <c r="P18" s="230">
        <v>2</v>
      </c>
      <c r="Q18" s="230">
        <v>2</v>
      </c>
      <c r="R18" s="230">
        <v>2</v>
      </c>
      <c r="S18" s="230">
        <v>2</v>
      </c>
    </row>
    <row r="19" spans="2:19" s="230" customFormat="1" ht="12.95" customHeight="1" x14ac:dyDescent="0.15">
      <c r="B19" s="549"/>
      <c r="C19" s="169" t="s">
        <v>62</v>
      </c>
      <c r="D19" s="170" t="s">
        <v>63</v>
      </c>
      <c r="E19" s="346">
        <f t="shared" ref="E19:S19" si="2">E18</f>
        <v>2</v>
      </c>
      <c r="F19" s="346">
        <f t="shared" si="2"/>
        <v>2</v>
      </c>
      <c r="G19" s="346">
        <f t="shared" si="2"/>
        <v>2</v>
      </c>
      <c r="H19" s="346">
        <f t="shared" si="2"/>
        <v>2</v>
      </c>
      <c r="I19" s="346">
        <f t="shared" si="2"/>
        <v>3</v>
      </c>
      <c r="J19" s="346">
        <f t="shared" si="2"/>
        <v>2</v>
      </c>
      <c r="K19" s="346">
        <f t="shared" si="2"/>
        <v>2</v>
      </c>
      <c r="L19" s="346">
        <f t="shared" si="2"/>
        <v>3</v>
      </c>
      <c r="M19" s="346">
        <f t="shared" si="2"/>
        <v>2</v>
      </c>
      <c r="N19" s="346">
        <f t="shared" si="2"/>
        <v>2</v>
      </c>
      <c r="O19" s="346">
        <f t="shared" si="2"/>
        <v>3</v>
      </c>
      <c r="P19" s="346">
        <f t="shared" si="2"/>
        <v>2</v>
      </c>
      <c r="Q19" s="346">
        <f t="shared" si="2"/>
        <v>2</v>
      </c>
      <c r="R19" s="346">
        <f t="shared" si="2"/>
        <v>2</v>
      </c>
      <c r="S19" s="346">
        <f t="shared" si="2"/>
        <v>2</v>
      </c>
    </row>
    <row r="20" spans="2:19" s="230" customFormat="1" ht="12.95" customHeight="1" x14ac:dyDescent="0.15">
      <c r="B20" s="545"/>
      <c r="C20" s="171" t="s">
        <v>256</v>
      </c>
      <c r="D20" s="172" t="s">
        <v>257</v>
      </c>
      <c r="E20" s="355">
        <f t="shared" ref="E20:S20" si="3">IF(E18="","",$E15/E19)</f>
        <v>17.417523569984727</v>
      </c>
      <c r="F20" s="355">
        <f t="shared" si="3"/>
        <v>17.417523569984727</v>
      </c>
      <c r="G20" s="355">
        <f t="shared" si="3"/>
        <v>17.417523569984727</v>
      </c>
      <c r="H20" s="355">
        <f t="shared" si="3"/>
        <v>17.417523569984727</v>
      </c>
      <c r="I20" s="355">
        <f t="shared" si="3"/>
        <v>11.611682379989817</v>
      </c>
      <c r="J20" s="355">
        <f t="shared" si="3"/>
        <v>17.417523569984727</v>
      </c>
      <c r="K20" s="355">
        <f t="shared" si="3"/>
        <v>17.417523569984727</v>
      </c>
      <c r="L20" s="355">
        <f t="shared" si="3"/>
        <v>11.611682379989817</v>
      </c>
      <c r="M20" s="355">
        <f t="shared" si="3"/>
        <v>17.417523569984727</v>
      </c>
      <c r="N20" s="355">
        <f t="shared" si="3"/>
        <v>17.417523569984727</v>
      </c>
      <c r="O20" s="355">
        <f t="shared" si="3"/>
        <v>11.611682379989817</v>
      </c>
      <c r="P20" s="355">
        <f t="shared" si="3"/>
        <v>17.417523569984727</v>
      </c>
      <c r="Q20" s="355">
        <f t="shared" si="3"/>
        <v>17.417523569984727</v>
      </c>
      <c r="R20" s="355">
        <f t="shared" si="3"/>
        <v>17.417523569984727</v>
      </c>
      <c r="S20" s="355">
        <f t="shared" si="3"/>
        <v>17.417523569984727</v>
      </c>
    </row>
    <row r="21" spans="2:19" ht="12.95" customHeight="1" x14ac:dyDescent="0.15">
      <c r="B21" s="569" t="s">
        <v>259</v>
      </c>
      <c r="C21" s="168" t="s">
        <v>108</v>
      </c>
      <c r="D21" s="240"/>
      <c r="E21" s="405">
        <v>4</v>
      </c>
      <c r="F21" s="405">
        <v>4</v>
      </c>
      <c r="G21" s="405">
        <v>4</v>
      </c>
      <c r="H21" s="405">
        <v>4</v>
      </c>
      <c r="I21" s="405">
        <v>4</v>
      </c>
      <c r="J21" s="405">
        <v>4</v>
      </c>
      <c r="K21" s="405">
        <v>4</v>
      </c>
      <c r="L21" s="405">
        <v>4</v>
      </c>
      <c r="M21" s="405">
        <v>4</v>
      </c>
      <c r="N21" s="405">
        <v>4</v>
      </c>
      <c r="O21" s="405">
        <v>4</v>
      </c>
      <c r="P21" s="405">
        <v>4</v>
      </c>
      <c r="Q21" s="405">
        <v>4</v>
      </c>
      <c r="R21" s="405">
        <v>4</v>
      </c>
      <c r="S21" s="405">
        <v>4</v>
      </c>
    </row>
    <row r="22" spans="2:19" ht="12.95" customHeight="1" x14ac:dyDescent="0.15">
      <c r="B22" s="549"/>
      <c r="C22" s="169" t="s">
        <v>262</v>
      </c>
      <c r="D22" s="170"/>
      <c r="E22" s="406">
        <v>2</v>
      </c>
      <c r="F22" s="407">
        <v>2</v>
      </c>
      <c r="G22" s="407">
        <v>2</v>
      </c>
      <c r="H22" s="407">
        <v>2</v>
      </c>
      <c r="I22" s="407">
        <v>2</v>
      </c>
      <c r="J22" s="407">
        <v>2</v>
      </c>
      <c r="K22" s="407">
        <v>2</v>
      </c>
      <c r="L22" s="407">
        <v>2</v>
      </c>
      <c r="M22" s="407">
        <v>2</v>
      </c>
      <c r="N22" s="407">
        <v>2</v>
      </c>
      <c r="O22" s="407">
        <v>2</v>
      </c>
      <c r="P22" s="407">
        <v>2</v>
      </c>
      <c r="Q22" s="407">
        <v>2</v>
      </c>
      <c r="R22" s="407">
        <v>2</v>
      </c>
      <c r="S22" s="407">
        <v>2</v>
      </c>
    </row>
    <row r="23" spans="2:19" ht="12.95" customHeight="1" x14ac:dyDescent="0.15">
      <c r="B23" s="549"/>
      <c r="C23" s="169" t="s">
        <v>263</v>
      </c>
      <c r="D23" s="170" t="s">
        <v>31</v>
      </c>
      <c r="E23" s="408">
        <f t="shared" ref="E23:S23" si="4">7*E22*100</f>
        <v>1400</v>
      </c>
      <c r="F23" s="409">
        <f t="shared" si="4"/>
        <v>1400</v>
      </c>
      <c r="G23" s="409">
        <f t="shared" si="4"/>
        <v>1400</v>
      </c>
      <c r="H23" s="409">
        <f t="shared" si="4"/>
        <v>1400</v>
      </c>
      <c r="I23" s="409">
        <f t="shared" si="4"/>
        <v>1400</v>
      </c>
      <c r="J23" s="409">
        <f t="shared" si="4"/>
        <v>1400</v>
      </c>
      <c r="K23" s="409">
        <f t="shared" si="4"/>
        <v>1400</v>
      </c>
      <c r="L23" s="409">
        <f t="shared" si="4"/>
        <v>1400</v>
      </c>
      <c r="M23" s="409">
        <f t="shared" si="4"/>
        <v>1400</v>
      </c>
      <c r="N23" s="409">
        <f t="shared" si="4"/>
        <v>1400</v>
      </c>
      <c r="O23" s="409">
        <f t="shared" si="4"/>
        <v>1400</v>
      </c>
      <c r="P23" s="409">
        <f t="shared" si="4"/>
        <v>1400</v>
      </c>
      <c r="Q23" s="409">
        <f t="shared" si="4"/>
        <v>1400</v>
      </c>
      <c r="R23" s="409">
        <f t="shared" si="4"/>
        <v>1400</v>
      </c>
      <c r="S23" s="409">
        <f t="shared" si="4"/>
        <v>1400</v>
      </c>
    </row>
    <row r="24" spans="2:19" ht="12.95" customHeight="1" x14ac:dyDescent="0.15">
      <c r="B24" s="549"/>
      <c r="C24" s="169" t="s">
        <v>373</v>
      </c>
      <c r="D24" s="170" t="s">
        <v>20</v>
      </c>
      <c r="E24" s="408">
        <f>鉛直!O8</f>
        <v>1</v>
      </c>
      <c r="F24" s="409">
        <f>鉛直!P8</f>
        <v>1</v>
      </c>
      <c r="G24" s="409">
        <f>鉛直!Q8</f>
        <v>1</v>
      </c>
      <c r="H24" s="409">
        <f>鉛直!R8</f>
        <v>1</v>
      </c>
      <c r="I24" s="409">
        <f>鉛直!S8</f>
        <v>1</v>
      </c>
      <c r="J24" s="409">
        <v>1</v>
      </c>
      <c r="K24" s="409">
        <v>1</v>
      </c>
      <c r="L24" s="409">
        <v>1</v>
      </c>
      <c r="M24" s="409">
        <v>1</v>
      </c>
      <c r="N24" s="409">
        <v>1</v>
      </c>
      <c r="O24" s="409">
        <v>1</v>
      </c>
      <c r="P24" s="409">
        <v>1</v>
      </c>
      <c r="Q24" s="409">
        <v>1</v>
      </c>
      <c r="R24" s="409">
        <v>1</v>
      </c>
      <c r="S24" s="409">
        <v>1</v>
      </c>
    </row>
    <row r="25" spans="2:19" ht="12.95" customHeight="1" x14ac:dyDescent="0.15">
      <c r="B25" s="545"/>
      <c r="C25" s="171" t="s">
        <v>267</v>
      </c>
      <c r="D25" s="172"/>
      <c r="E25" s="410">
        <f t="shared" ref="E25:S25" si="5">ROUNDDOWN((1/30)*E21*E23*(E24*100/30)^(-3/4)*10^2,3)</f>
        <v>7566.72</v>
      </c>
      <c r="F25" s="411">
        <f t="shared" si="5"/>
        <v>7566.72</v>
      </c>
      <c r="G25" s="411">
        <f t="shared" si="5"/>
        <v>7566.72</v>
      </c>
      <c r="H25" s="411">
        <f t="shared" si="5"/>
        <v>7566.72</v>
      </c>
      <c r="I25" s="411">
        <f t="shared" si="5"/>
        <v>7566.72</v>
      </c>
      <c r="J25" s="411">
        <f t="shared" si="5"/>
        <v>7566.72</v>
      </c>
      <c r="K25" s="411">
        <f t="shared" si="5"/>
        <v>7566.72</v>
      </c>
      <c r="L25" s="411">
        <f t="shared" si="5"/>
        <v>7566.72</v>
      </c>
      <c r="M25" s="411">
        <f t="shared" si="5"/>
        <v>7566.72</v>
      </c>
      <c r="N25" s="411">
        <f t="shared" si="5"/>
        <v>7566.72</v>
      </c>
      <c r="O25" s="411">
        <f t="shared" si="5"/>
        <v>7566.72</v>
      </c>
      <c r="P25" s="411">
        <f t="shared" si="5"/>
        <v>7566.72</v>
      </c>
      <c r="Q25" s="411">
        <f t="shared" si="5"/>
        <v>7566.72</v>
      </c>
      <c r="R25" s="411">
        <f t="shared" si="5"/>
        <v>7566.72</v>
      </c>
      <c r="S25" s="411">
        <f t="shared" si="5"/>
        <v>7566.72</v>
      </c>
    </row>
    <row r="26" spans="2:19" ht="12.95" customHeight="1" x14ac:dyDescent="0.15">
      <c r="B26" s="569" t="s">
        <v>269</v>
      </c>
      <c r="C26" s="168" t="s">
        <v>19</v>
      </c>
      <c r="D26" s="240" t="s">
        <v>20</v>
      </c>
      <c r="E26" s="412">
        <v>1</v>
      </c>
      <c r="F26" s="413">
        <v>1</v>
      </c>
      <c r="G26" s="413">
        <v>1</v>
      </c>
      <c r="H26" s="413">
        <v>1</v>
      </c>
      <c r="I26" s="413">
        <v>1</v>
      </c>
      <c r="J26" s="413">
        <v>1</v>
      </c>
      <c r="K26" s="413">
        <v>1</v>
      </c>
      <c r="L26" s="413">
        <v>1</v>
      </c>
      <c r="M26" s="413">
        <v>1</v>
      </c>
      <c r="N26" s="413">
        <v>1</v>
      </c>
      <c r="O26" s="413">
        <v>1</v>
      </c>
      <c r="P26" s="413">
        <v>1</v>
      </c>
      <c r="Q26" s="413">
        <v>1</v>
      </c>
      <c r="R26" s="413">
        <v>1</v>
      </c>
      <c r="S26" s="413">
        <v>1</v>
      </c>
    </row>
    <row r="27" spans="2:19" ht="12.95" customHeight="1" x14ac:dyDescent="0.15">
      <c r="B27" s="549"/>
      <c r="C27" s="169" t="s">
        <v>265</v>
      </c>
      <c r="D27" s="170" t="s">
        <v>20</v>
      </c>
      <c r="E27" s="414">
        <v>1</v>
      </c>
      <c r="F27" s="415">
        <v>1</v>
      </c>
      <c r="G27" s="415">
        <v>1</v>
      </c>
      <c r="H27" s="415">
        <v>1</v>
      </c>
      <c r="I27" s="415">
        <v>1</v>
      </c>
      <c r="J27" s="415">
        <v>1</v>
      </c>
      <c r="K27" s="415">
        <v>1</v>
      </c>
      <c r="L27" s="415">
        <v>1</v>
      </c>
      <c r="M27" s="415">
        <v>1</v>
      </c>
      <c r="N27" s="415">
        <v>1</v>
      </c>
      <c r="O27" s="415">
        <v>1</v>
      </c>
      <c r="P27" s="415">
        <v>1</v>
      </c>
      <c r="Q27" s="415">
        <v>1</v>
      </c>
      <c r="R27" s="415">
        <v>1</v>
      </c>
      <c r="S27" s="415">
        <v>1</v>
      </c>
    </row>
    <row r="28" spans="2:19" ht="12.95" customHeight="1" x14ac:dyDescent="0.15">
      <c r="B28" s="549"/>
      <c r="C28" s="169" t="s">
        <v>273</v>
      </c>
      <c r="D28" s="170"/>
      <c r="E28" s="408">
        <f t="shared" ref="E28:S28" si="6">E26/E27</f>
        <v>1</v>
      </c>
      <c r="F28" s="409">
        <f t="shared" si="6"/>
        <v>1</v>
      </c>
      <c r="G28" s="409">
        <f t="shared" si="6"/>
        <v>1</v>
      </c>
      <c r="H28" s="409">
        <f t="shared" si="6"/>
        <v>1</v>
      </c>
      <c r="I28" s="409">
        <f t="shared" si="6"/>
        <v>1</v>
      </c>
      <c r="J28" s="409">
        <f t="shared" si="6"/>
        <v>1</v>
      </c>
      <c r="K28" s="409">
        <f t="shared" si="6"/>
        <v>1</v>
      </c>
      <c r="L28" s="409">
        <f t="shared" si="6"/>
        <v>1</v>
      </c>
      <c r="M28" s="409">
        <f t="shared" si="6"/>
        <v>1</v>
      </c>
      <c r="N28" s="409">
        <f t="shared" si="6"/>
        <v>1</v>
      </c>
      <c r="O28" s="409">
        <f t="shared" si="6"/>
        <v>1</v>
      </c>
      <c r="P28" s="409">
        <f t="shared" si="6"/>
        <v>1</v>
      </c>
      <c r="Q28" s="409">
        <f t="shared" si="6"/>
        <v>1</v>
      </c>
      <c r="R28" s="409">
        <f t="shared" si="6"/>
        <v>1</v>
      </c>
      <c r="S28" s="409">
        <f t="shared" si="6"/>
        <v>1</v>
      </c>
    </row>
    <row r="29" spans="2:19" ht="12.95" customHeight="1" x14ac:dyDescent="0.15">
      <c r="B29" s="549"/>
      <c r="C29" s="169" t="s">
        <v>275</v>
      </c>
      <c r="D29" s="170"/>
      <c r="E29" s="408">
        <f t="shared" ref="E29:S29" si="7">ROUNDDOWN((1-0.2*(3-E28)),1)</f>
        <v>0.6</v>
      </c>
      <c r="F29" s="409">
        <f t="shared" si="7"/>
        <v>0.6</v>
      </c>
      <c r="G29" s="409">
        <f t="shared" si="7"/>
        <v>0.6</v>
      </c>
      <c r="H29" s="409">
        <f t="shared" si="7"/>
        <v>0.6</v>
      </c>
      <c r="I29" s="409">
        <f t="shared" si="7"/>
        <v>0.6</v>
      </c>
      <c r="J29" s="409">
        <f t="shared" si="7"/>
        <v>0.6</v>
      </c>
      <c r="K29" s="409">
        <f t="shared" si="7"/>
        <v>0.6</v>
      </c>
      <c r="L29" s="409">
        <f t="shared" si="7"/>
        <v>0.6</v>
      </c>
      <c r="M29" s="409">
        <f t="shared" si="7"/>
        <v>0.6</v>
      </c>
      <c r="N29" s="409">
        <f t="shared" si="7"/>
        <v>0.6</v>
      </c>
      <c r="O29" s="409">
        <f t="shared" si="7"/>
        <v>0.6</v>
      </c>
      <c r="P29" s="409">
        <f t="shared" si="7"/>
        <v>0.6</v>
      </c>
      <c r="Q29" s="409">
        <f t="shared" si="7"/>
        <v>0.6</v>
      </c>
      <c r="R29" s="409">
        <f t="shared" si="7"/>
        <v>0.6</v>
      </c>
      <c r="S29" s="409">
        <f t="shared" si="7"/>
        <v>0.6</v>
      </c>
    </row>
    <row r="30" spans="2:19" ht="12.95" customHeight="1" x14ac:dyDescent="0.15">
      <c r="B30" s="549"/>
      <c r="C30" s="169" t="s">
        <v>239</v>
      </c>
      <c r="D30" s="170" t="s">
        <v>20</v>
      </c>
      <c r="E30" s="408">
        <f t="shared" ref="E30:S30" si="8">E11</f>
        <v>309.5</v>
      </c>
      <c r="F30" s="409">
        <f t="shared" si="8"/>
        <v>514.79999999999995</v>
      </c>
      <c r="G30" s="409">
        <f t="shared" si="8"/>
        <v>310.60000000000002</v>
      </c>
      <c r="H30" s="409">
        <f t="shared" si="8"/>
        <v>442.4</v>
      </c>
      <c r="I30" s="409">
        <f t="shared" si="8"/>
        <v>652.79999999999995</v>
      </c>
      <c r="J30" s="409">
        <f t="shared" si="8"/>
        <v>416.8</v>
      </c>
      <c r="K30" s="409">
        <f t="shared" si="8"/>
        <v>420.7</v>
      </c>
      <c r="L30" s="409">
        <f t="shared" si="8"/>
        <v>625</v>
      </c>
      <c r="M30" s="409">
        <f t="shared" si="8"/>
        <v>394.2</v>
      </c>
      <c r="N30" s="409">
        <f t="shared" si="8"/>
        <v>436</v>
      </c>
      <c r="O30" s="409">
        <f t="shared" si="8"/>
        <v>668.1</v>
      </c>
      <c r="P30" s="409">
        <f t="shared" si="8"/>
        <v>464</v>
      </c>
      <c r="Q30" s="409">
        <f t="shared" si="8"/>
        <v>217.7</v>
      </c>
      <c r="R30" s="409">
        <f t="shared" si="8"/>
        <v>384.7</v>
      </c>
      <c r="S30" s="409">
        <f t="shared" si="8"/>
        <v>223.4</v>
      </c>
    </row>
    <row r="31" spans="2:19" ht="12.95" customHeight="1" x14ac:dyDescent="0.15">
      <c r="B31" s="549"/>
      <c r="C31" s="169" t="s">
        <v>276</v>
      </c>
      <c r="D31" s="170"/>
      <c r="E31" s="416">
        <f t="shared" ref="E31:S31" si="9">ROUNDDOWN((1/30)*E21*E23*(E30*100/30)^(-3/4)*10^2,2)</f>
        <v>102.54</v>
      </c>
      <c r="F31" s="417">
        <f t="shared" si="9"/>
        <v>70.010000000000005</v>
      </c>
      <c r="G31" s="417">
        <f t="shared" si="9"/>
        <v>102.27</v>
      </c>
      <c r="H31" s="417">
        <f t="shared" si="9"/>
        <v>78.44</v>
      </c>
      <c r="I31" s="417">
        <f t="shared" si="9"/>
        <v>58.58</v>
      </c>
      <c r="J31" s="417">
        <f t="shared" si="9"/>
        <v>82.02</v>
      </c>
      <c r="K31" s="417">
        <f t="shared" si="9"/>
        <v>81.45</v>
      </c>
      <c r="L31" s="417">
        <f t="shared" si="9"/>
        <v>60.53</v>
      </c>
      <c r="M31" s="417">
        <f t="shared" si="9"/>
        <v>85.53</v>
      </c>
      <c r="N31" s="417">
        <f t="shared" si="9"/>
        <v>79.3</v>
      </c>
      <c r="O31" s="417">
        <f t="shared" si="9"/>
        <v>57.58</v>
      </c>
      <c r="P31" s="417">
        <f t="shared" si="9"/>
        <v>75.680000000000007</v>
      </c>
      <c r="Q31" s="417">
        <f t="shared" si="9"/>
        <v>133.51</v>
      </c>
      <c r="R31" s="417">
        <f t="shared" si="9"/>
        <v>87.1</v>
      </c>
      <c r="S31" s="417">
        <f t="shared" si="9"/>
        <v>130.94</v>
      </c>
    </row>
    <row r="32" spans="2:19" ht="12.95" customHeight="1" x14ac:dyDescent="0.15">
      <c r="B32" s="549"/>
      <c r="C32" s="169" t="s">
        <v>279</v>
      </c>
      <c r="D32" s="170"/>
      <c r="E32" s="416">
        <f t="shared" ref="E32:S32" si="10">ROUNDDOWN(E31/E25,2)</f>
        <v>0.01</v>
      </c>
      <c r="F32" s="417">
        <f t="shared" si="10"/>
        <v>0</v>
      </c>
      <c r="G32" s="417">
        <f t="shared" si="10"/>
        <v>0.01</v>
      </c>
      <c r="H32" s="417">
        <f t="shared" si="10"/>
        <v>0.01</v>
      </c>
      <c r="I32" s="417">
        <f t="shared" si="10"/>
        <v>0</v>
      </c>
      <c r="J32" s="417">
        <f t="shared" si="10"/>
        <v>0.01</v>
      </c>
      <c r="K32" s="417">
        <f t="shared" si="10"/>
        <v>0.01</v>
      </c>
      <c r="L32" s="417">
        <f t="shared" si="10"/>
        <v>0</v>
      </c>
      <c r="M32" s="417">
        <f t="shared" si="10"/>
        <v>0.01</v>
      </c>
      <c r="N32" s="417">
        <f t="shared" si="10"/>
        <v>0.01</v>
      </c>
      <c r="O32" s="417">
        <f t="shared" si="10"/>
        <v>0</v>
      </c>
      <c r="P32" s="417">
        <f t="shared" si="10"/>
        <v>0.01</v>
      </c>
      <c r="Q32" s="417">
        <f t="shared" si="10"/>
        <v>0.01</v>
      </c>
      <c r="R32" s="417">
        <f t="shared" si="10"/>
        <v>0.01</v>
      </c>
      <c r="S32" s="417">
        <f t="shared" si="10"/>
        <v>0.01</v>
      </c>
    </row>
    <row r="33" spans="2:19" ht="12.95" customHeight="1" x14ac:dyDescent="0.15">
      <c r="B33" s="549"/>
      <c r="C33" s="169" t="s">
        <v>281</v>
      </c>
      <c r="D33" s="170"/>
      <c r="E33" s="408">
        <f t="shared" ref="E33:S33" si="11">MAX(E29,E32)</f>
        <v>0.6</v>
      </c>
      <c r="F33" s="409">
        <f t="shared" si="11"/>
        <v>0.6</v>
      </c>
      <c r="G33" s="409">
        <f t="shared" si="11"/>
        <v>0.6</v>
      </c>
      <c r="H33" s="409">
        <f t="shared" si="11"/>
        <v>0.6</v>
      </c>
      <c r="I33" s="409">
        <f t="shared" si="11"/>
        <v>0.6</v>
      </c>
      <c r="J33" s="409">
        <f t="shared" si="11"/>
        <v>0.6</v>
      </c>
      <c r="K33" s="409">
        <f t="shared" si="11"/>
        <v>0.6</v>
      </c>
      <c r="L33" s="409">
        <f t="shared" si="11"/>
        <v>0.6</v>
      </c>
      <c r="M33" s="409">
        <f t="shared" si="11"/>
        <v>0.6</v>
      </c>
      <c r="N33" s="409">
        <f t="shared" si="11"/>
        <v>0.6</v>
      </c>
      <c r="O33" s="409">
        <f t="shared" si="11"/>
        <v>0.6</v>
      </c>
      <c r="P33" s="409">
        <f t="shared" si="11"/>
        <v>0.6</v>
      </c>
      <c r="Q33" s="409">
        <f t="shared" si="11"/>
        <v>0.6</v>
      </c>
      <c r="R33" s="409">
        <f t="shared" si="11"/>
        <v>0.6</v>
      </c>
      <c r="S33" s="409">
        <f t="shared" si="11"/>
        <v>0.6</v>
      </c>
    </row>
    <row r="34" spans="2:19" ht="12.95" customHeight="1" x14ac:dyDescent="0.15">
      <c r="B34" s="549"/>
      <c r="C34" s="169" t="s">
        <v>282</v>
      </c>
      <c r="D34" s="170"/>
      <c r="E34" s="408">
        <f t="shared" ref="E34:S34" si="12">(1-0.3*(3-E28))</f>
        <v>0.4</v>
      </c>
      <c r="F34" s="409">
        <f t="shared" si="12"/>
        <v>0.4</v>
      </c>
      <c r="G34" s="409">
        <f t="shared" si="12"/>
        <v>0.4</v>
      </c>
      <c r="H34" s="409">
        <f t="shared" si="12"/>
        <v>0.4</v>
      </c>
      <c r="I34" s="409">
        <f t="shared" si="12"/>
        <v>0.4</v>
      </c>
      <c r="J34" s="409">
        <f t="shared" si="12"/>
        <v>0.4</v>
      </c>
      <c r="K34" s="409">
        <f t="shared" si="12"/>
        <v>0.4</v>
      </c>
      <c r="L34" s="409">
        <f t="shared" si="12"/>
        <v>0.4</v>
      </c>
      <c r="M34" s="409">
        <f t="shared" si="12"/>
        <v>0.4</v>
      </c>
      <c r="N34" s="409">
        <f t="shared" si="12"/>
        <v>0.4</v>
      </c>
      <c r="O34" s="409">
        <f t="shared" si="12"/>
        <v>0.4</v>
      </c>
      <c r="P34" s="409">
        <f t="shared" si="12"/>
        <v>0.4</v>
      </c>
      <c r="Q34" s="409">
        <f t="shared" si="12"/>
        <v>0.4</v>
      </c>
      <c r="R34" s="409">
        <f t="shared" si="12"/>
        <v>0.4</v>
      </c>
      <c r="S34" s="409">
        <f t="shared" si="12"/>
        <v>0.4</v>
      </c>
    </row>
    <row r="35" spans="2:19" ht="12.95" customHeight="1" x14ac:dyDescent="0.15">
      <c r="B35" s="549"/>
      <c r="C35" s="169" t="s">
        <v>284</v>
      </c>
      <c r="D35" s="170"/>
      <c r="E35" s="408">
        <f t="shared" ref="E35:S35" si="13">E33*E34</f>
        <v>0.24</v>
      </c>
      <c r="F35" s="409">
        <f t="shared" si="13"/>
        <v>0.24</v>
      </c>
      <c r="G35" s="409">
        <f t="shared" si="13"/>
        <v>0.24</v>
      </c>
      <c r="H35" s="409">
        <f t="shared" si="13"/>
        <v>0.24</v>
      </c>
      <c r="I35" s="409">
        <f t="shared" si="13"/>
        <v>0.24</v>
      </c>
      <c r="J35" s="409">
        <f t="shared" si="13"/>
        <v>0.24</v>
      </c>
      <c r="K35" s="409">
        <f t="shared" si="13"/>
        <v>0.24</v>
      </c>
      <c r="L35" s="409">
        <f t="shared" si="13"/>
        <v>0.24</v>
      </c>
      <c r="M35" s="409">
        <f t="shared" si="13"/>
        <v>0.24</v>
      </c>
      <c r="N35" s="409">
        <f t="shared" si="13"/>
        <v>0.24</v>
      </c>
      <c r="O35" s="409">
        <f t="shared" si="13"/>
        <v>0.24</v>
      </c>
      <c r="P35" s="409">
        <f t="shared" si="13"/>
        <v>0.24</v>
      </c>
      <c r="Q35" s="409">
        <f t="shared" si="13"/>
        <v>0.24</v>
      </c>
      <c r="R35" s="409">
        <f t="shared" si="13"/>
        <v>0.24</v>
      </c>
      <c r="S35" s="409">
        <f t="shared" si="13"/>
        <v>0.24</v>
      </c>
    </row>
    <row r="36" spans="2:19" ht="12.95" customHeight="1" x14ac:dyDescent="0.15">
      <c r="B36" s="545"/>
      <c r="C36" s="171" t="s">
        <v>286</v>
      </c>
      <c r="D36" s="172"/>
      <c r="E36" s="410">
        <f t="shared" ref="E36:S36" si="14">ROUNDDOWN(E35*E25,2)</f>
        <v>1816.01</v>
      </c>
      <c r="F36" s="411">
        <f t="shared" si="14"/>
        <v>1816.01</v>
      </c>
      <c r="G36" s="411">
        <f t="shared" si="14"/>
        <v>1816.01</v>
      </c>
      <c r="H36" s="411">
        <f t="shared" si="14"/>
        <v>1816.01</v>
      </c>
      <c r="I36" s="411">
        <f t="shared" si="14"/>
        <v>1816.01</v>
      </c>
      <c r="J36" s="411">
        <f t="shared" si="14"/>
        <v>1816.01</v>
      </c>
      <c r="K36" s="411">
        <f t="shared" si="14"/>
        <v>1816.01</v>
      </c>
      <c r="L36" s="411">
        <f t="shared" si="14"/>
        <v>1816.01</v>
      </c>
      <c r="M36" s="411">
        <f t="shared" si="14"/>
        <v>1816.01</v>
      </c>
      <c r="N36" s="411">
        <f t="shared" si="14"/>
        <v>1816.01</v>
      </c>
      <c r="O36" s="411">
        <f t="shared" si="14"/>
        <v>1816.01</v>
      </c>
      <c r="P36" s="411">
        <f t="shared" si="14"/>
        <v>1816.01</v>
      </c>
      <c r="Q36" s="411">
        <f t="shared" si="14"/>
        <v>1816.01</v>
      </c>
      <c r="R36" s="411">
        <f t="shared" si="14"/>
        <v>1816.01</v>
      </c>
      <c r="S36" s="411">
        <f t="shared" si="14"/>
        <v>1816.01</v>
      </c>
    </row>
    <row r="37" spans="2:19" ht="12.95" customHeight="1" x14ac:dyDescent="0.15">
      <c r="B37" s="569" t="s">
        <v>287</v>
      </c>
      <c r="C37" s="168" t="s">
        <v>30</v>
      </c>
      <c r="D37" s="240" t="s">
        <v>31</v>
      </c>
      <c r="E37" s="479">
        <v>800</v>
      </c>
      <c r="F37" s="419">
        <v>800</v>
      </c>
      <c r="G37" s="419">
        <v>800</v>
      </c>
      <c r="H37" s="419">
        <v>800</v>
      </c>
      <c r="I37" s="419">
        <v>800</v>
      </c>
      <c r="J37" s="419">
        <v>800</v>
      </c>
      <c r="K37" s="419">
        <v>800</v>
      </c>
      <c r="L37" s="419">
        <v>800</v>
      </c>
      <c r="M37" s="419">
        <v>800</v>
      </c>
      <c r="N37" s="419">
        <v>800</v>
      </c>
      <c r="O37" s="419">
        <v>800</v>
      </c>
      <c r="P37" s="419">
        <v>800</v>
      </c>
      <c r="Q37" s="419">
        <v>800</v>
      </c>
      <c r="R37" s="419">
        <v>800</v>
      </c>
      <c r="S37" s="419">
        <v>800</v>
      </c>
    </row>
    <row r="38" spans="2:19" ht="12.95" customHeight="1" x14ac:dyDescent="0.15">
      <c r="B38" s="549"/>
      <c r="C38" s="169" t="s">
        <v>288</v>
      </c>
      <c r="D38" s="170" t="s">
        <v>31</v>
      </c>
      <c r="E38" s="420">
        <f t="shared" ref="E38:S38" si="15">E37*180</f>
        <v>144000</v>
      </c>
      <c r="F38" s="421">
        <f t="shared" si="15"/>
        <v>144000</v>
      </c>
      <c r="G38" s="421">
        <f t="shared" si="15"/>
        <v>144000</v>
      </c>
      <c r="H38" s="421">
        <f t="shared" si="15"/>
        <v>144000</v>
      </c>
      <c r="I38" s="421">
        <f t="shared" si="15"/>
        <v>144000</v>
      </c>
      <c r="J38" s="421">
        <f t="shared" si="15"/>
        <v>144000</v>
      </c>
      <c r="K38" s="421">
        <f t="shared" si="15"/>
        <v>144000</v>
      </c>
      <c r="L38" s="421">
        <f t="shared" si="15"/>
        <v>144000</v>
      </c>
      <c r="M38" s="421">
        <f t="shared" si="15"/>
        <v>144000</v>
      </c>
      <c r="N38" s="421">
        <f t="shared" si="15"/>
        <v>144000</v>
      </c>
      <c r="O38" s="421">
        <f t="shared" si="15"/>
        <v>144000</v>
      </c>
      <c r="P38" s="421">
        <f t="shared" si="15"/>
        <v>144000</v>
      </c>
      <c r="Q38" s="421">
        <f t="shared" si="15"/>
        <v>144000</v>
      </c>
      <c r="R38" s="421">
        <f t="shared" si="15"/>
        <v>144000</v>
      </c>
      <c r="S38" s="421">
        <f t="shared" si="15"/>
        <v>144000</v>
      </c>
    </row>
    <row r="39" spans="2:19" ht="12.95" customHeight="1" x14ac:dyDescent="0.15">
      <c r="B39" s="549"/>
      <c r="C39" s="169" t="s">
        <v>290</v>
      </c>
      <c r="D39" s="170" t="s">
        <v>291</v>
      </c>
      <c r="E39" s="422">
        <f t="shared" ref="E39:S39" si="16">ROUNDDOWN(PI()*E24^4/64,3)</f>
        <v>4.9000000000000002E-2</v>
      </c>
      <c r="F39" s="423">
        <f t="shared" si="16"/>
        <v>4.9000000000000002E-2</v>
      </c>
      <c r="G39" s="423">
        <f t="shared" si="16"/>
        <v>4.9000000000000002E-2</v>
      </c>
      <c r="H39" s="423">
        <f t="shared" si="16"/>
        <v>4.9000000000000002E-2</v>
      </c>
      <c r="I39" s="423">
        <f t="shared" si="16"/>
        <v>4.9000000000000002E-2</v>
      </c>
      <c r="J39" s="423">
        <f t="shared" si="16"/>
        <v>4.9000000000000002E-2</v>
      </c>
      <c r="K39" s="423">
        <f t="shared" si="16"/>
        <v>4.9000000000000002E-2</v>
      </c>
      <c r="L39" s="423">
        <f t="shared" si="16"/>
        <v>4.9000000000000002E-2</v>
      </c>
      <c r="M39" s="423">
        <f t="shared" si="16"/>
        <v>4.9000000000000002E-2</v>
      </c>
      <c r="N39" s="423">
        <f t="shared" si="16"/>
        <v>4.9000000000000002E-2</v>
      </c>
      <c r="O39" s="423">
        <f t="shared" si="16"/>
        <v>4.9000000000000002E-2</v>
      </c>
      <c r="P39" s="423">
        <f t="shared" si="16"/>
        <v>4.9000000000000002E-2</v>
      </c>
      <c r="Q39" s="423">
        <f t="shared" si="16"/>
        <v>4.9000000000000002E-2</v>
      </c>
      <c r="R39" s="423">
        <f t="shared" si="16"/>
        <v>4.9000000000000002E-2</v>
      </c>
      <c r="S39" s="423">
        <f t="shared" si="16"/>
        <v>4.9000000000000002E-2</v>
      </c>
    </row>
    <row r="40" spans="2:19" ht="12.95" customHeight="1" x14ac:dyDescent="0.15">
      <c r="B40" s="549"/>
      <c r="C40" s="169" t="s">
        <v>111</v>
      </c>
      <c r="D40" s="170"/>
      <c r="E40" s="416">
        <f t="shared" ref="E40:S40" si="17">ROUNDDOWN((E36*E24/4/E38/E39)^(1/4),2)</f>
        <v>0.5</v>
      </c>
      <c r="F40" s="417">
        <f t="shared" si="17"/>
        <v>0.5</v>
      </c>
      <c r="G40" s="417">
        <f t="shared" si="17"/>
        <v>0.5</v>
      </c>
      <c r="H40" s="417">
        <f t="shared" si="17"/>
        <v>0.5</v>
      </c>
      <c r="I40" s="417">
        <f t="shared" si="17"/>
        <v>0.5</v>
      </c>
      <c r="J40" s="417">
        <f t="shared" si="17"/>
        <v>0.5</v>
      </c>
      <c r="K40" s="417">
        <f t="shared" si="17"/>
        <v>0.5</v>
      </c>
      <c r="L40" s="417">
        <f t="shared" si="17"/>
        <v>0.5</v>
      </c>
      <c r="M40" s="417">
        <f t="shared" si="17"/>
        <v>0.5</v>
      </c>
      <c r="N40" s="417">
        <f t="shared" si="17"/>
        <v>0.5</v>
      </c>
      <c r="O40" s="417">
        <f t="shared" si="17"/>
        <v>0.5</v>
      </c>
      <c r="P40" s="417">
        <f t="shared" si="17"/>
        <v>0.5</v>
      </c>
      <c r="Q40" s="417">
        <f t="shared" si="17"/>
        <v>0.5</v>
      </c>
      <c r="R40" s="417">
        <f t="shared" si="17"/>
        <v>0.5</v>
      </c>
      <c r="S40" s="417">
        <f t="shared" si="17"/>
        <v>0.5</v>
      </c>
    </row>
    <row r="41" spans="2:19" ht="12.95" customHeight="1" x14ac:dyDescent="0.15">
      <c r="B41" s="549"/>
      <c r="C41" s="169" t="s">
        <v>26</v>
      </c>
      <c r="D41" s="170" t="s">
        <v>20</v>
      </c>
      <c r="E41" s="408">
        <f>鉛直!O10</f>
        <v>8</v>
      </c>
      <c r="F41" s="409">
        <f>鉛直!P10</f>
        <v>9.02</v>
      </c>
      <c r="G41" s="409">
        <f>鉛直!Q10</f>
        <v>9.02</v>
      </c>
      <c r="H41" s="409">
        <f>鉛直!R10</f>
        <v>9.02</v>
      </c>
      <c r="I41" s="409">
        <f>鉛直!S10</f>
        <v>9.02</v>
      </c>
      <c r="J41" s="409">
        <f t="shared" ref="J41:S41" si="18">I41</f>
        <v>9.02</v>
      </c>
      <c r="K41" s="409">
        <f t="shared" si="18"/>
        <v>9.02</v>
      </c>
      <c r="L41" s="409">
        <f t="shared" si="18"/>
        <v>9.02</v>
      </c>
      <c r="M41" s="409">
        <f t="shared" si="18"/>
        <v>9.02</v>
      </c>
      <c r="N41" s="409">
        <f t="shared" si="18"/>
        <v>9.02</v>
      </c>
      <c r="O41" s="409">
        <f t="shared" si="18"/>
        <v>9.02</v>
      </c>
      <c r="P41" s="409">
        <f t="shared" si="18"/>
        <v>9.02</v>
      </c>
      <c r="Q41" s="409">
        <f t="shared" si="18"/>
        <v>9.02</v>
      </c>
      <c r="R41" s="409">
        <f t="shared" si="18"/>
        <v>9.02</v>
      </c>
      <c r="S41" s="409">
        <f t="shared" si="18"/>
        <v>9.02</v>
      </c>
    </row>
    <row r="42" spans="2:19" ht="12.95" customHeight="1" x14ac:dyDescent="0.15">
      <c r="B42" s="549"/>
      <c r="C42" s="169" t="s">
        <v>294</v>
      </c>
      <c r="D42" s="170"/>
      <c r="E42" s="408">
        <f t="shared" ref="E42:S42" si="19">ROUNDDOWN(E40*E41,1)</f>
        <v>4</v>
      </c>
      <c r="F42" s="409">
        <f t="shared" si="19"/>
        <v>4.5</v>
      </c>
      <c r="G42" s="409">
        <f t="shared" si="19"/>
        <v>4.5</v>
      </c>
      <c r="H42" s="409">
        <f t="shared" si="19"/>
        <v>4.5</v>
      </c>
      <c r="I42" s="409">
        <f t="shared" si="19"/>
        <v>4.5</v>
      </c>
      <c r="J42" s="409">
        <f t="shared" si="19"/>
        <v>4.5</v>
      </c>
      <c r="K42" s="409">
        <f t="shared" si="19"/>
        <v>4.5</v>
      </c>
      <c r="L42" s="409">
        <f t="shared" si="19"/>
        <v>4.5</v>
      </c>
      <c r="M42" s="409">
        <f t="shared" si="19"/>
        <v>4.5</v>
      </c>
      <c r="N42" s="409">
        <f t="shared" si="19"/>
        <v>4.5</v>
      </c>
      <c r="O42" s="409">
        <f t="shared" si="19"/>
        <v>4.5</v>
      </c>
      <c r="P42" s="409">
        <f t="shared" si="19"/>
        <v>4.5</v>
      </c>
      <c r="Q42" s="409">
        <f t="shared" si="19"/>
        <v>4.5</v>
      </c>
      <c r="R42" s="409">
        <f t="shared" si="19"/>
        <v>4.5</v>
      </c>
      <c r="S42" s="409">
        <f t="shared" si="19"/>
        <v>4.5</v>
      </c>
    </row>
    <row r="43" spans="2:19" ht="12.95" customHeight="1" x14ac:dyDescent="0.15">
      <c r="B43" s="549"/>
      <c r="C43" s="169" t="s">
        <v>296</v>
      </c>
      <c r="D43" s="170"/>
      <c r="E43" s="422">
        <f>IF(E45=0.25,IF(E42&lt;5,VLOOKUP(E42,Sheet3!$A$5:$I$50,2,0),Sheet3!$B$50),IF(E42&lt;5,VLOOKUP(E42,Sheet3!$A$5:$I$50,6,0),Sheet3!$F$50))</f>
        <v>0.64400000000000002</v>
      </c>
      <c r="F43" s="422">
        <f>IF(F45=0.25,IF(F42&lt;5,VLOOKUP(F42,Sheet3!$A$5:$I$50,2,0),Sheet3!$B$50),IF(F42&lt;5,VLOOKUP(F42,Sheet3!$A$5:$I$50,6,0),Sheet3!$F$50))</f>
        <v>0.64400000000000002</v>
      </c>
      <c r="G43" s="422">
        <f>IF(G45=0.25,IF(G42&lt;5,VLOOKUP(G42,Sheet3!$A$5:$I$50,2,0),Sheet3!$B$50),IF(G42&lt;5,VLOOKUP(G42,Sheet3!$A$5:$I$50,6,0),Sheet3!$F$50))</f>
        <v>0.64400000000000002</v>
      </c>
      <c r="H43" s="422">
        <f>IF(H45=0.25,IF(H42&lt;5,VLOOKUP(H42,Sheet3!$A$5:$I$50,2,0),Sheet3!$B$50),IF(H42&lt;5,VLOOKUP(H42,Sheet3!$A$5:$I$50,6,0),Sheet3!$F$50))</f>
        <v>0.64400000000000002</v>
      </c>
      <c r="I43" s="422">
        <f>IF(I45=0.25,IF(I42&lt;5,VLOOKUP(I42,Sheet3!$A$5:$I$50,2,0),Sheet3!$B$50),IF(I42&lt;5,VLOOKUP(I42,Sheet3!$A$5:$I$50,6,0),Sheet3!$F$50))</f>
        <v>0.64400000000000002</v>
      </c>
      <c r="J43" s="422">
        <f>IF(J45=0.25,IF(J42&lt;5,VLOOKUP(J42,Sheet3!$A$5:$I$50,2,0),Sheet3!$B$50),IF(J42&lt;5,VLOOKUP(J42,Sheet3!$A$5:$I$50,6,0),Sheet3!$F$50))</f>
        <v>0.64400000000000002</v>
      </c>
      <c r="K43" s="422">
        <f>IF(K45=0.25,IF(K42&lt;5,VLOOKUP(K42,Sheet3!$A$5:$I$50,2,0),Sheet3!$B$50),IF(K42&lt;5,VLOOKUP(K42,Sheet3!$A$5:$I$50,6,0),Sheet3!$F$50))</f>
        <v>0.64400000000000002</v>
      </c>
      <c r="L43" s="422">
        <f>IF(L45=0.25,IF(L42&lt;5,VLOOKUP(L42,Sheet3!$A$5:$I$50,2,0),Sheet3!$B$50),IF(L42&lt;5,VLOOKUP(L42,Sheet3!$A$5:$I$50,6,0),Sheet3!$F$50))</f>
        <v>0.64400000000000002</v>
      </c>
      <c r="M43" s="422">
        <f>IF(M45=0.25,IF(M42&lt;5,VLOOKUP(M42,Sheet3!$A$5:$I$50,2,0),Sheet3!$B$50),IF(M42&lt;5,VLOOKUP(M42,Sheet3!$A$5:$I$50,6,0),Sheet3!$F$50))</f>
        <v>0.64400000000000002</v>
      </c>
      <c r="N43" s="422">
        <f>IF(N45=0.25,IF(N42&lt;5,VLOOKUP(N42,Sheet3!$A$5:$I$50,2,0),Sheet3!$B$50),IF(N42&lt;5,VLOOKUP(N42,Sheet3!$A$5:$I$50,6,0),Sheet3!$F$50))</f>
        <v>0.64400000000000002</v>
      </c>
      <c r="O43" s="422">
        <f>IF(O45=0.25,IF(O42&lt;5,VLOOKUP(O42,Sheet3!$A$5:$I$50,2,0),Sheet3!$B$50),IF(O42&lt;5,VLOOKUP(O42,Sheet3!$A$5:$I$50,6,0),Sheet3!$F$50))</f>
        <v>0.64400000000000002</v>
      </c>
      <c r="P43" s="422">
        <f>IF(P45=0.25,IF(P42&lt;5,VLOOKUP(P42,Sheet3!$A$5:$I$50,2,0),Sheet3!$B$50),IF(P42&lt;5,VLOOKUP(P42,Sheet3!$A$5:$I$50,6,0),Sheet3!$F$50))</f>
        <v>0.64400000000000002</v>
      </c>
      <c r="Q43" s="422">
        <f>IF(Q45=0.25,IF(Q42&lt;5,VLOOKUP(Q42,Sheet3!$A$5:$I$50,2,0),Sheet3!$B$50),IF(Q42&lt;5,VLOOKUP(Q42,Sheet3!$A$5:$I$50,6,0),Sheet3!$F$50))</f>
        <v>0.64400000000000002</v>
      </c>
      <c r="R43" s="422">
        <f>IF(R45=0.25,IF(R42&lt;5,VLOOKUP(R42,Sheet3!$A$5:$I$50,2,0),Sheet3!$B$50),IF(R42&lt;5,VLOOKUP(R42,Sheet3!$A$5:$I$50,6,0),Sheet3!$F$50))</f>
        <v>0.64400000000000002</v>
      </c>
      <c r="S43" s="422">
        <f>IF(S45=0.25,IF(S42&lt;5,VLOOKUP(S42,Sheet3!$A$5:$I$50,2,0),Sheet3!$B$50),IF(S42&lt;5,VLOOKUP(S42,Sheet3!$A$5:$I$50,6,0),Sheet3!$F$50))</f>
        <v>0.64400000000000002</v>
      </c>
    </row>
    <row r="44" spans="2:19" ht="12.95" customHeight="1" x14ac:dyDescent="0.15">
      <c r="B44" s="549"/>
      <c r="C44" s="169" t="s">
        <v>299</v>
      </c>
      <c r="D44" s="170"/>
      <c r="E44" s="422">
        <f>IF(E45=0.25,IF(E42&lt;5,VLOOKUP(E42,Sheet3!$A$5:$I$50,3,0),Sheet3!$C$50),IF(E42&lt;5,VLOOKUP(E42,Sheet3!$A$5:$I$50,7,0),Sheet3!$G$50))</f>
        <v>0</v>
      </c>
      <c r="F44" s="422">
        <f>IF(F45=0.25,IF(F42&lt;5,VLOOKUP(F42,Sheet3!$A$5:$I$50,3,0),Sheet3!$C$50),IF(F42&lt;5,VLOOKUP(F42,Sheet3!$A$5:$I$50,7,0),Sheet3!$G$50))</f>
        <v>0</v>
      </c>
      <c r="G44" s="422">
        <f>IF(G45=0.25,IF(G42&lt;5,VLOOKUP(G42,Sheet3!$A$5:$I$50,3,0),Sheet3!$C$50),IF(G42&lt;5,VLOOKUP(G42,Sheet3!$A$5:$I$50,7,0),Sheet3!$G$50))</f>
        <v>0</v>
      </c>
      <c r="H44" s="422">
        <f>IF(H45=0.25,IF(H42&lt;5,VLOOKUP(H42,Sheet3!$A$5:$I$50,3,0),Sheet3!$C$50),IF(H42&lt;5,VLOOKUP(H42,Sheet3!$A$5:$I$50,7,0),Sheet3!$G$50))</f>
        <v>0</v>
      </c>
      <c r="I44" s="422">
        <f>IF(I45=0.25,IF(I42&lt;5,VLOOKUP(I42,Sheet3!$A$5:$I$50,3,0),Sheet3!$C$50),IF(I42&lt;5,VLOOKUP(I42,Sheet3!$A$5:$I$50,7,0),Sheet3!$G$50))</f>
        <v>0</v>
      </c>
      <c r="J44" s="422">
        <f>IF(J45=0.25,IF(J42&lt;5,VLOOKUP(J42,Sheet3!$A$5:$I$50,3,0),Sheet3!$C$50),IF(J42&lt;5,VLOOKUP(J42,Sheet3!$A$5:$I$50,7,0),Sheet3!$G$50))</f>
        <v>0</v>
      </c>
      <c r="K44" s="422">
        <f>IF(K45=0.25,IF(K42&lt;5,VLOOKUP(K42,Sheet3!$A$5:$I$50,3,0),Sheet3!$C$50),IF(K42&lt;5,VLOOKUP(K42,Sheet3!$A$5:$I$50,7,0),Sheet3!$G$50))</f>
        <v>0</v>
      </c>
      <c r="L44" s="422">
        <f>IF(L45=0.25,IF(L42&lt;5,VLOOKUP(L42,Sheet3!$A$5:$I$50,3,0),Sheet3!$C$50),IF(L42&lt;5,VLOOKUP(L42,Sheet3!$A$5:$I$50,7,0),Sheet3!$G$50))</f>
        <v>0</v>
      </c>
      <c r="M44" s="422">
        <f>IF(M45=0.25,IF(M42&lt;5,VLOOKUP(M42,Sheet3!$A$5:$I$50,3,0),Sheet3!$C$50),IF(M42&lt;5,VLOOKUP(M42,Sheet3!$A$5:$I$50,7,0),Sheet3!$G$50))</f>
        <v>0</v>
      </c>
      <c r="N44" s="422">
        <f>IF(N45=0.25,IF(N42&lt;5,VLOOKUP(N42,Sheet3!$A$5:$I$50,3,0),Sheet3!$C$50),IF(N42&lt;5,VLOOKUP(N42,Sheet3!$A$5:$I$50,7,0),Sheet3!$G$50))</f>
        <v>0</v>
      </c>
      <c r="O44" s="422">
        <f>IF(O45=0.25,IF(O42&lt;5,VLOOKUP(O42,Sheet3!$A$5:$I$50,3,0),Sheet3!$C$50),IF(O42&lt;5,VLOOKUP(O42,Sheet3!$A$5:$I$50,7,0),Sheet3!$G$50))</f>
        <v>0</v>
      </c>
      <c r="P44" s="422">
        <f>IF(P45=0.25,IF(P42&lt;5,VLOOKUP(P42,Sheet3!$A$5:$I$50,3,0),Sheet3!$C$50),IF(P42&lt;5,VLOOKUP(P42,Sheet3!$A$5:$I$50,7,0),Sheet3!$G$50))</f>
        <v>0</v>
      </c>
      <c r="Q44" s="422">
        <f>IF(Q45=0.25,IF(Q42&lt;5,VLOOKUP(Q42,Sheet3!$A$5:$I$50,3,0),Sheet3!$C$50),IF(Q42&lt;5,VLOOKUP(Q42,Sheet3!$A$5:$I$50,7,0),Sheet3!$G$50))</f>
        <v>0</v>
      </c>
      <c r="R44" s="422">
        <f>IF(R45=0.25,IF(R42&lt;5,VLOOKUP(R42,Sheet3!$A$5:$I$50,3,0),Sheet3!$C$50),IF(R42&lt;5,VLOOKUP(R42,Sheet3!$A$5:$I$50,7,0),Sheet3!$G$50))</f>
        <v>0</v>
      </c>
      <c r="S44" s="422">
        <f>IF(S45=0.25,IF(S42&lt;5,VLOOKUP(S42,Sheet3!$A$5:$I$50,3,0),Sheet3!$C$50),IF(S42&lt;5,VLOOKUP(S42,Sheet3!$A$5:$I$50,7,0),Sheet3!$G$50))</f>
        <v>0</v>
      </c>
    </row>
    <row r="45" spans="2:19" ht="12.95" customHeight="1" x14ac:dyDescent="0.15">
      <c r="B45" s="549"/>
      <c r="C45" s="169" t="s">
        <v>301</v>
      </c>
      <c r="D45" s="170"/>
      <c r="E45" s="346">
        <v>0</v>
      </c>
      <c r="F45" s="346">
        <v>0</v>
      </c>
      <c r="G45" s="346">
        <v>0</v>
      </c>
      <c r="H45" s="346">
        <v>0</v>
      </c>
      <c r="I45" s="346">
        <v>0</v>
      </c>
      <c r="J45" s="346">
        <v>0</v>
      </c>
      <c r="K45" s="346">
        <v>0</v>
      </c>
      <c r="L45" s="346">
        <v>0</v>
      </c>
      <c r="M45" s="346">
        <v>0</v>
      </c>
      <c r="N45" s="346">
        <v>0</v>
      </c>
      <c r="O45" s="346">
        <v>0</v>
      </c>
      <c r="P45" s="346">
        <v>0</v>
      </c>
      <c r="Q45" s="346">
        <v>0</v>
      </c>
      <c r="R45" s="346">
        <v>0</v>
      </c>
      <c r="S45" s="346">
        <v>0</v>
      </c>
    </row>
    <row r="46" spans="2:19" ht="12.95" customHeight="1" x14ac:dyDescent="0.15">
      <c r="B46" s="549"/>
      <c r="C46" s="169" t="s">
        <v>303</v>
      </c>
      <c r="D46" s="170" t="s">
        <v>304</v>
      </c>
      <c r="E46" s="416">
        <f t="shared" ref="E46:S46" si="20">ROUNDDOWN(E20/2/E40*E43,2)</f>
        <v>11.21</v>
      </c>
      <c r="F46" s="417">
        <f t="shared" si="20"/>
        <v>11.21</v>
      </c>
      <c r="G46" s="417">
        <f t="shared" si="20"/>
        <v>11.21</v>
      </c>
      <c r="H46" s="417">
        <f t="shared" si="20"/>
        <v>11.21</v>
      </c>
      <c r="I46" s="417">
        <f t="shared" si="20"/>
        <v>7.47</v>
      </c>
      <c r="J46" s="417">
        <f t="shared" si="20"/>
        <v>11.21</v>
      </c>
      <c r="K46" s="417">
        <f t="shared" si="20"/>
        <v>11.21</v>
      </c>
      <c r="L46" s="417">
        <f t="shared" si="20"/>
        <v>7.47</v>
      </c>
      <c r="M46" s="417">
        <f t="shared" si="20"/>
        <v>11.21</v>
      </c>
      <c r="N46" s="417">
        <f t="shared" si="20"/>
        <v>11.21</v>
      </c>
      <c r="O46" s="417">
        <f t="shared" si="20"/>
        <v>7.47</v>
      </c>
      <c r="P46" s="417">
        <f t="shared" si="20"/>
        <v>11.21</v>
      </c>
      <c r="Q46" s="417">
        <f t="shared" si="20"/>
        <v>11.21</v>
      </c>
      <c r="R46" s="417">
        <f t="shared" si="20"/>
        <v>11.21</v>
      </c>
      <c r="S46" s="417">
        <f t="shared" si="20"/>
        <v>11.21</v>
      </c>
    </row>
    <row r="47" spans="2:19" ht="12.95" customHeight="1" x14ac:dyDescent="0.15">
      <c r="B47" s="549"/>
      <c r="C47" s="169" t="s">
        <v>306</v>
      </c>
      <c r="D47" s="170" t="s">
        <v>304</v>
      </c>
      <c r="E47" s="416">
        <f t="shared" ref="E47:S47" si="21">ROUNDDOWN(E20/2/E40*E44,2)</f>
        <v>0</v>
      </c>
      <c r="F47" s="417">
        <f t="shared" si="21"/>
        <v>0</v>
      </c>
      <c r="G47" s="417">
        <f t="shared" si="21"/>
        <v>0</v>
      </c>
      <c r="H47" s="417">
        <f t="shared" si="21"/>
        <v>0</v>
      </c>
      <c r="I47" s="417">
        <f t="shared" si="21"/>
        <v>0</v>
      </c>
      <c r="J47" s="417">
        <f t="shared" si="21"/>
        <v>0</v>
      </c>
      <c r="K47" s="417">
        <f t="shared" si="21"/>
        <v>0</v>
      </c>
      <c r="L47" s="417">
        <f t="shared" si="21"/>
        <v>0</v>
      </c>
      <c r="M47" s="417">
        <f t="shared" si="21"/>
        <v>0</v>
      </c>
      <c r="N47" s="417">
        <f t="shared" si="21"/>
        <v>0</v>
      </c>
      <c r="O47" s="417">
        <f t="shared" si="21"/>
        <v>0</v>
      </c>
      <c r="P47" s="417">
        <f t="shared" si="21"/>
        <v>0</v>
      </c>
      <c r="Q47" s="417">
        <f t="shared" si="21"/>
        <v>0</v>
      </c>
      <c r="R47" s="417">
        <f t="shared" si="21"/>
        <v>0</v>
      </c>
      <c r="S47" s="417">
        <f t="shared" si="21"/>
        <v>0</v>
      </c>
    </row>
    <row r="48" spans="2:19" ht="12.95" customHeight="1" x14ac:dyDescent="0.15">
      <c r="B48" s="545"/>
      <c r="C48" s="171" t="s">
        <v>308</v>
      </c>
      <c r="D48" s="172" t="s">
        <v>304</v>
      </c>
      <c r="E48" s="410">
        <f t="shared" ref="E48:S48" si="22">ROUNDDOWN(MAX(E46:E47),2)</f>
        <v>11.21</v>
      </c>
      <c r="F48" s="411">
        <f t="shared" si="22"/>
        <v>11.21</v>
      </c>
      <c r="G48" s="411">
        <f t="shared" si="22"/>
        <v>11.21</v>
      </c>
      <c r="H48" s="411">
        <f t="shared" si="22"/>
        <v>11.21</v>
      </c>
      <c r="I48" s="411">
        <f t="shared" si="22"/>
        <v>7.47</v>
      </c>
      <c r="J48" s="411">
        <f t="shared" si="22"/>
        <v>11.21</v>
      </c>
      <c r="K48" s="411">
        <f t="shared" si="22"/>
        <v>11.21</v>
      </c>
      <c r="L48" s="411">
        <f t="shared" si="22"/>
        <v>7.47</v>
      </c>
      <c r="M48" s="411">
        <f t="shared" si="22"/>
        <v>11.21</v>
      </c>
      <c r="N48" s="411">
        <f t="shared" si="22"/>
        <v>11.21</v>
      </c>
      <c r="O48" s="411">
        <f t="shared" si="22"/>
        <v>7.47</v>
      </c>
      <c r="P48" s="411">
        <f t="shared" si="22"/>
        <v>11.21</v>
      </c>
      <c r="Q48" s="411">
        <f t="shared" si="22"/>
        <v>11.21</v>
      </c>
      <c r="R48" s="411">
        <f t="shared" si="22"/>
        <v>11.21</v>
      </c>
      <c r="S48" s="411">
        <f t="shared" si="22"/>
        <v>11.21</v>
      </c>
    </row>
    <row r="49" spans="2:19" ht="12.95" customHeight="1" x14ac:dyDescent="0.15">
      <c r="B49" s="574" t="s">
        <v>311</v>
      </c>
      <c r="C49" s="168" t="s">
        <v>312</v>
      </c>
      <c r="D49" s="240" t="s">
        <v>126</v>
      </c>
      <c r="E49" s="424">
        <f>E11/E19</f>
        <v>154.75</v>
      </c>
      <c r="F49" s="425">
        <f t="shared" ref="F49:S49" si="23">(F14+F15+F17)/F19</f>
        <v>28.971053744194304</v>
      </c>
      <c r="G49" s="425">
        <f t="shared" si="23"/>
        <v>17.479427530976597</v>
      </c>
      <c r="H49" s="425">
        <f t="shared" si="23"/>
        <v>24.896647584365887</v>
      </c>
      <c r="I49" s="425">
        <f t="shared" si="23"/>
        <v>24.491458021510024</v>
      </c>
      <c r="J49" s="425">
        <f t="shared" si="23"/>
        <v>23.455973583100597</v>
      </c>
      <c r="K49" s="425">
        <f t="shared" si="23"/>
        <v>23.675451262980854</v>
      </c>
      <c r="L49" s="425">
        <f t="shared" si="23"/>
        <v>23.448470072677338</v>
      </c>
      <c r="M49" s="425">
        <f t="shared" si="23"/>
        <v>22.184128566358574</v>
      </c>
      <c r="N49" s="425">
        <f t="shared" si="23"/>
        <v>24.536479084049567</v>
      </c>
      <c r="O49" s="425">
        <f t="shared" si="23"/>
        <v>25.065476568889167</v>
      </c>
      <c r="P49" s="425">
        <f t="shared" si="23"/>
        <v>26.112216272933484</v>
      </c>
      <c r="Q49" s="425">
        <f t="shared" si="23"/>
        <v>12.251356643572455</v>
      </c>
      <c r="R49" s="425">
        <f t="shared" si="23"/>
        <v>21.64950344870153</v>
      </c>
      <c r="S49" s="425">
        <f t="shared" si="23"/>
        <v>12.572131714166682</v>
      </c>
    </row>
    <row r="50" spans="2:19" ht="12.95" customHeight="1" x14ac:dyDescent="0.15">
      <c r="B50" s="563"/>
      <c r="C50" s="169" t="s">
        <v>315</v>
      </c>
      <c r="D50" s="170" t="s">
        <v>31</v>
      </c>
      <c r="E50" s="426">
        <f t="shared" ref="E50:S50" si="24">(E49/E56)+E48/(2*E39/E27)</f>
        <v>311.42157464980727</v>
      </c>
      <c r="F50" s="426">
        <f t="shared" si="24"/>
        <v>151.27484638179672</v>
      </c>
      <c r="G50" s="426">
        <f t="shared" si="24"/>
        <v>136.64325345381275</v>
      </c>
      <c r="H50" s="426">
        <f t="shared" si="24"/>
        <v>146.08715133779063</v>
      </c>
      <c r="I50" s="426">
        <f t="shared" si="24"/>
        <v>107.40798265712613</v>
      </c>
      <c r="J50" s="426">
        <f t="shared" si="24"/>
        <v>144.25282822830783</v>
      </c>
      <c r="K50" s="426">
        <f t="shared" si="24"/>
        <v>144.5322758895181</v>
      </c>
      <c r="L50" s="426">
        <f t="shared" si="24"/>
        <v>106.08000915599014</v>
      </c>
      <c r="M50" s="426">
        <f t="shared" si="24"/>
        <v>142.63346485821754</v>
      </c>
      <c r="N50" s="426">
        <f t="shared" si="24"/>
        <v>145.62857056041994</v>
      </c>
      <c r="O50" s="426">
        <f t="shared" si="24"/>
        <v>108.13884577106069</v>
      </c>
      <c r="P50" s="426">
        <f t="shared" si="24"/>
        <v>147.63486146141676</v>
      </c>
      <c r="Q50" s="426">
        <f t="shared" si="24"/>
        <v>129.98666685729114</v>
      </c>
      <c r="R50" s="426">
        <f t="shared" si="24"/>
        <v>141.9527590168079</v>
      </c>
      <c r="S50" s="426">
        <f t="shared" si="24"/>
        <v>130.39509036213693</v>
      </c>
    </row>
    <row r="51" spans="2:19" ht="12.95" customHeight="1" x14ac:dyDescent="0.15">
      <c r="B51" s="563"/>
      <c r="C51" s="169" t="s">
        <v>159</v>
      </c>
      <c r="D51" s="170" t="s">
        <v>31</v>
      </c>
      <c r="E51" s="426">
        <f t="shared" ref="E51:S51" si="25">2/3*E37</f>
        <v>533.33333333333326</v>
      </c>
      <c r="F51" s="427">
        <f t="shared" si="25"/>
        <v>533.33333333333326</v>
      </c>
      <c r="G51" s="427">
        <f t="shared" si="25"/>
        <v>533.33333333333326</v>
      </c>
      <c r="H51" s="427">
        <f t="shared" si="25"/>
        <v>533.33333333333326</v>
      </c>
      <c r="I51" s="427">
        <f t="shared" si="25"/>
        <v>533.33333333333326</v>
      </c>
      <c r="J51" s="427">
        <f t="shared" si="25"/>
        <v>533.33333333333326</v>
      </c>
      <c r="K51" s="427">
        <f t="shared" si="25"/>
        <v>533.33333333333326</v>
      </c>
      <c r="L51" s="427">
        <f t="shared" si="25"/>
        <v>533.33333333333326</v>
      </c>
      <c r="M51" s="427">
        <f t="shared" si="25"/>
        <v>533.33333333333326</v>
      </c>
      <c r="N51" s="427">
        <f t="shared" si="25"/>
        <v>533.33333333333326</v>
      </c>
      <c r="O51" s="427">
        <f t="shared" si="25"/>
        <v>533.33333333333326</v>
      </c>
      <c r="P51" s="427">
        <f t="shared" si="25"/>
        <v>533.33333333333326</v>
      </c>
      <c r="Q51" s="427">
        <f t="shared" si="25"/>
        <v>533.33333333333326</v>
      </c>
      <c r="R51" s="427">
        <f t="shared" si="25"/>
        <v>533.33333333333326</v>
      </c>
      <c r="S51" s="427">
        <f t="shared" si="25"/>
        <v>533.33333333333326</v>
      </c>
    </row>
    <row r="52" spans="2:19" ht="12.95" customHeight="1" x14ac:dyDescent="0.15">
      <c r="B52" s="563"/>
      <c r="C52" s="169" t="s">
        <v>319</v>
      </c>
      <c r="D52" s="170"/>
      <c r="E52" s="428" t="str">
        <f t="shared" ref="E52:S52" si="26">IF(E51&gt;E50,"OK","NG")</f>
        <v>OK</v>
      </c>
      <c r="F52" s="429" t="str">
        <f t="shared" si="26"/>
        <v>OK</v>
      </c>
      <c r="G52" s="429" t="str">
        <f t="shared" si="26"/>
        <v>OK</v>
      </c>
      <c r="H52" s="429" t="str">
        <f t="shared" si="26"/>
        <v>OK</v>
      </c>
      <c r="I52" s="429" t="str">
        <f t="shared" si="26"/>
        <v>OK</v>
      </c>
      <c r="J52" s="429" t="str">
        <f t="shared" si="26"/>
        <v>OK</v>
      </c>
      <c r="K52" s="429" t="str">
        <f t="shared" si="26"/>
        <v>OK</v>
      </c>
      <c r="L52" s="429" t="str">
        <f t="shared" si="26"/>
        <v>OK</v>
      </c>
      <c r="M52" s="429" t="str">
        <f t="shared" si="26"/>
        <v>OK</v>
      </c>
      <c r="N52" s="429" t="str">
        <f t="shared" si="26"/>
        <v>OK</v>
      </c>
      <c r="O52" s="429" t="str">
        <f t="shared" si="26"/>
        <v>OK</v>
      </c>
      <c r="P52" s="429" t="str">
        <f t="shared" si="26"/>
        <v>OK</v>
      </c>
      <c r="Q52" s="429" t="str">
        <f t="shared" si="26"/>
        <v>OK</v>
      </c>
      <c r="R52" s="429" t="str">
        <f t="shared" si="26"/>
        <v>OK</v>
      </c>
      <c r="S52" s="429" t="str">
        <f t="shared" si="26"/>
        <v>OK</v>
      </c>
    </row>
    <row r="53" spans="2:19" ht="12.95" customHeight="1" x14ac:dyDescent="0.15">
      <c r="B53" s="563"/>
      <c r="C53" s="169" t="s">
        <v>320</v>
      </c>
      <c r="D53" s="170" t="s">
        <v>31</v>
      </c>
      <c r="E53" s="426">
        <f t="shared" ref="E53:S53" si="27">(E49/E56)-E48/(2*E39/E27)</f>
        <v>82.6460644457256</v>
      </c>
      <c r="F53" s="427">
        <f t="shared" si="27"/>
        <v>-77.500663822284935</v>
      </c>
      <c r="G53" s="427">
        <f t="shared" si="27"/>
        <v>-92.132256750268908</v>
      </c>
      <c r="H53" s="427">
        <f t="shared" si="27"/>
        <v>-82.688358866291011</v>
      </c>
      <c r="I53" s="427">
        <f t="shared" si="27"/>
        <v>-45.040996934710591</v>
      </c>
      <c r="J53" s="427">
        <f t="shared" si="27"/>
        <v>-84.522681975773821</v>
      </c>
      <c r="K53" s="427">
        <f t="shared" si="27"/>
        <v>-84.243234314563551</v>
      </c>
      <c r="L53" s="427">
        <f t="shared" si="27"/>
        <v>-46.368970435846578</v>
      </c>
      <c r="M53" s="427">
        <f t="shared" si="27"/>
        <v>-86.142045345864119</v>
      </c>
      <c r="N53" s="427">
        <f t="shared" si="27"/>
        <v>-83.14693964366171</v>
      </c>
      <c r="O53" s="427">
        <f t="shared" si="27"/>
        <v>-44.310133820776031</v>
      </c>
      <c r="P53" s="427">
        <f t="shared" si="27"/>
        <v>-81.140648742664894</v>
      </c>
      <c r="Q53" s="427">
        <f t="shared" si="27"/>
        <v>-98.788843346790529</v>
      </c>
      <c r="R53" s="427">
        <f t="shared" si="27"/>
        <v>-86.822751187273752</v>
      </c>
      <c r="S53" s="427">
        <f t="shared" si="27"/>
        <v>-98.380419841944743</v>
      </c>
    </row>
    <row r="54" spans="2:19" ht="12.95" customHeight="1" x14ac:dyDescent="0.15">
      <c r="B54" s="563"/>
      <c r="C54" s="169" t="s">
        <v>322</v>
      </c>
      <c r="D54" s="170" t="s">
        <v>31</v>
      </c>
      <c r="E54" s="426">
        <f t="shared" ref="E54:S54" si="28">-0.2*E51</f>
        <v>-106.66666666666666</v>
      </c>
      <c r="F54" s="427">
        <f t="shared" si="28"/>
        <v>-106.66666666666666</v>
      </c>
      <c r="G54" s="427">
        <f t="shared" si="28"/>
        <v>-106.66666666666666</v>
      </c>
      <c r="H54" s="427">
        <f t="shared" si="28"/>
        <v>-106.66666666666666</v>
      </c>
      <c r="I54" s="427">
        <f t="shared" si="28"/>
        <v>-106.66666666666666</v>
      </c>
      <c r="J54" s="427">
        <f t="shared" si="28"/>
        <v>-106.66666666666666</v>
      </c>
      <c r="K54" s="427">
        <f t="shared" si="28"/>
        <v>-106.66666666666666</v>
      </c>
      <c r="L54" s="427">
        <f t="shared" si="28"/>
        <v>-106.66666666666666</v>
      </c>
      <c r="M54" s="427">
        <f t="shared" si="28"/>
        <v>-106.66666666666666</v>
      </c>
      <c r="N54" s="427">
        <f t="shared" si="28"/>
        <v>-106.66666666666666</v>
      </c>
      <c r="O54" s="427">
        <f t="shared" si="28"/>
        <v>-106.66666666666666</v>
      </c>
      <c r="P54" s="427">
        <f t="shared" si="28"/>
        <v>-106.66666666666666</v>
      </c>
      <c r="Q54" s="427">
        <f t="shared" si="28"/>
        <v>-106.66666666666666</v>
      </c>
      <c r="R54" s="427">
        <f t="shared" si="28"/>
        <v>-106.66666666666666</v>
      </c>
      <c r="S54" s="427">
        <f t="shared" si="28"/>
        <v>-106.66666666666666</v>
      </c>
    </row>
    <row r="55" spans="2:19" ht="12.95" customHeight="1" x14ac:dyDescent="0.15">
      <c r="B55" s="564"/>
      <c r="C55" s="171" t="s">
        <v>324</v>
      </c>
      <c r="D55" s="172"/>
      <c r="E55" s="430" t="str">
        <f t="shared" ref="E55:S55" si="29">IF(E53&gt;E54,"OK","NG")</f>
        <v>OK</v>
      </c>
      <c r="F55" s="431" t="str">
        <f t="shared" si="29"/>
        <v>OK</v>
      </c>
      <c r="G55" s="431" t="str">
        <f t="shared" si="29"/>
        <v>OK</v>
      </c>
      <c r="H55" s="431" t="str">
        <f t="shared" si="29"/>
        <v>OK</v>
      </c>
      <c r="I55" s="431" t="str">
        <f t="shared" si="29"/>
        <v>OK</v>
      </c>
      <c r="J55" s="431" t="str">
        <f t="shared" si="29"/>
        <v>OK</v>
      </c>
      <c r="K55" s="431" t="str">
        <f t="shared" si="29"/>
        <v>OK</v>
      </c>
      <c r="L55" s="431" t="str">
        <f t="shared" si="29"/>
        <v>OK</v>
      </c>
      <c r="M55" s="431" t="str">
        <f t="shared" si="29"/>
        <v>OK</v>
      </c>
      <c r="N55" s="431" t="str">
        <f t="shared" si="29"/>
        <v>OK</v>
      </c>
      <c r="O55" s="431" t="str">
        <f t="shared" si="29"/>
        <v>OK</v>
      </c>
      <c r="P55" s="431" t="str">
        <f t="shared" si="29"/>
        <v>OK</v>
      </c>
      <c r="Q55" s="431" t="str">
        <f t="shared" si="29"/>
        <v>OK</v>
      </c>
      <c r="R55" s="431" t="str">
        <f t="shared" si="29"/>
        <v>OK</v>
      </c>
      <c r="S55" s="431" t="str">
        <f t="shared" si="29"/>
        <v>OK</v>
      </c>
    </row>
    <row r="56" spans="2:19" ht="12.95" customHeight="1" x14ac:dyDescent="0.15">
      <c r="B56" s="574" t="s">
        <v>326</v>
      </c>
      <c r="C56" s="168" t="s">
        <v>65</v>
      </c>
      <c r="D56" s="240" t="s">
        <v>66</v>
      </c>
      <c r="E56" s="432">
        <f t="shared" ref="E56:S56" si="30">(E26/2)^2*PI()</f>
        <v>0.78539816339744828</v>
      </c>
      <c r="F56" s="433">
        <f t="shared" si="30"/>
        <v>0.78539816339744828</v>
      </c>
      <c r="G56" s="433">
        <f t="shared" si="30"/>
        <v>0.78539816339744828</v>
      </c>
      <c r="H56" s="433">
        <f t="shared" si="30"/>
        <v>0.78539816339744828</v>
      </c>
      <c r="I56" s="433">
        <f t="shared" si="30"/>
        <v>0.78539816339744828</v>
      </c>
      <c r="J56" s="433">
        <f t="shared" si="30"/>
        <v>0.78539816339744828</v>
      </c>
      <c r="K56" s="433">
        <f t="shared" si="30"/>
        <v>0.78539816339744828</v>
      </c>
      <c r="L56" s="433">
        <f t="shared" si="30"/>
        <v>0.78539816339744828</v>
      </c>
      <c r="M56" s="433">
        <f t="shared" si="30"/>
        <v>0.78539816339744828</v>
      </c>
      <c r="N56" s="433">
        <f t="shared" si="30"/>
        <v>0.78539816339744828</v>
      </c>
      <c r="O56" s="433">
        <f t="shared" si="30"/>
        <v>0.78539816339744828</v>
      </c>
      <c r="P56" s="433">
        <f t="shared" si="30"/>
        <v>0.78539816339744828</v>
      </c>
      <c r="Q56" s="433">
        <f t="shared" si="30"/>
        <v>0.78539816339744828</v>
      </c>
      <c r="R56" s="433">
        <f t="shared" si="30"/>
        <v>0.78539816339744828</v>
      </c>
      <c r="S56" s="433">
        <f t="shared" si="30"/>
        <v>0.78539816339744828</v>
      </c>
    </row>
    <row r="57" spans="2:19" ht="12.95" customHeight="1" x14ac:dyDescent="0.15">
      <c r="B57" s="563"/>
      <c r="C57" s="169" t="s">
        <v>329</v>
      </c>
      <c r="D57" s="170" t="s">
        <v>31</v>
      </c>
      <c r="E57" s="426">
        <f t="shared" ref="E57:S57" si="31">E20/E56</f>
        <v>22.176679780661321</v>
      </c>
      <c r="F57" s="427">
        <f t="shared" si="31"/>
        <v>22.176679780661321</v>
      </c>
      <c r="G57" s="427">
        <f t="shared" si="31"/>
        <v>22.176679780661321</v>
      </c>
      <c r="H57" s="427">
        <f t="shared" si="31"/>
        <v>22.176679780661321</v>
      </c>
      <c r="I57" s="427">
        <f t="shared" si="31"/>
        <v>14.784453187107546</v>
      </c>
      <c r="J57" s="427">
        <f t="shared" si="31"/>
        <v>22.176679780661321</v>
      </c>
      <c r="K57" s="427">
        <f t="shared" si="31"/>
        <v>22.176679780661321</v>
      </c>
      <c r="L57" s="427">
        <f t="shared" si="31"/>
        <v>14.784453187107546</v>
      </c>
      <c r="M57" s="427">
        <f t="shared" si="31"/>
        <v>22.176679780661321</v>
      </c>
      <c r="N57" s="427">
        <f t="shared" si="31"/>
        <v>22.176679780661321</v>
      </c>
      <c r="O57" s="427">
        <f t="shared" si="31"/>
        <v>14.784453187107546</v>
      </c>
      <c r="P57" s="427">
        <f t="shared" si="31"/>
        <v>22.176679780661321</v>
      </c>
      <c r="Q57" s="427">
        <f t="shared" si="31"/>
        <v>22.176679780661321</v>
      </c>
      <c r="R57" s="427">
        <f t="shared" si="31"/>
        <v>22.176679780661321</v>
      </c>
      <c r="S57" s="427">
        <f t="shared" si="31"/>
        <v>22.176679780661321</v>
      </c>
    </row>
    <row r="58" spans="2:19" ht="12.95" customHeight="1" x14ac:dyDescent="0.15">
      <c r="B58" s="563"/>
      <c r="C58" s="169" t="s">
        <v>331</v>
      </c>
      <c r="D58" s="170" t="s">
        <v>31</v>
      </c>
      <c r="E58" s="426">
        <f t="shared" ref="E58:S58" si="32">MIN((0.3*E37+E57*TAN(30*PI()/180)),0.5*E37)</f>
        <v>252.80371204109696</v>
      </c>
      <c r="F58" s="427">
        <f t="shared" si="32"/>
        <v>252.80371204109696</v>
      </c>
      <c r="G58" s="427">
        <f t="shared" si="32"/>
        <v>252.80371204109696</v>
      </c>
      <c r="H58" s="427">
        <f t="shared" si="32"/>
        <v>252.80371204109696</v>
      </c>
      <c r="I58" s="427">
        <f t="shared" si="32"/>
        <v>248.53580802739796</v>
      </c>
      <c r="J58" s="427">
        <f t="shared" si="32"/>
        <v>252.80371204109696</v>
      </c>
      <c r="K58" s="427">
        <f t="shared" si="32"/>
        <v>252.80371204109696</v>
      </c>
      <c r="L58" s="427">
        <f t="shared" si="32"/>
        <v>248.53580802739796</v>
      </c>
      <c r="M58" s="427">
        <f t="shared" si="32"/>
        <v>252.80371204109696</v>
      </c>
      <c r="N58" s="427">
        <f t="shared" si="32"/>
        <v>252.80371204109696</v>
      </c>
      <c r="O58" s="427">
        <f t="shared" si="32"/>
        <v>248.53580802739796</v>
      </c>
      <c r="P58" s="427">
        <f t="shared" si="32"/>
        <v>252.80371204109696</v>
      </c>
      <c r="Q58" s="427">
        <f t="shared" si="32"/>
        <v>252.80371204109696</v>
      </c>
      <c r="R58" s="427">
        <f t="shared" si="32"/>
        <v>252.80371204109696</v>
      </c>
      <c r="S58" s="427">
        <f t="shared" si="32"/>
        <v>252.80371204109696</v>
      </c>
    </row>
    <row r="59" spans="2:19" ht="12.95" customHeight="1" x14ac:dyDescent="0.15">
      <c r="B59" s="563"/>
      <c r="C59" s="169" t="s">
        <v>333</v>
      </c>
      <c r="D59" s="170" t="s">
        <v>31</v>
      </c>
      <c r="E59" s="426">
        <f t="shared" ref="E59:S59" si="33">2/3*E58</f>
        <v>168.53580802739796</v>
      </c>
      <c r="F59" s="427">
        <f t="shared" si="33"/>
        <v>168.53580802739796</v>
      </c>
      <c r="G59" s="427">
        <f t="shared" si="33"/>
        <v>168.53580802739796</v>
      </c>
      <c r="H59" s="427">
        <f t="shared" si="33"/>
        <v>168.53580802739796</v>
      </c>
      <c r="I59" s="427">
        <f t="shared" si="33"/>
        <v>165.69053868493197</v>
      </c>
      <c r="J59" s="427">
        <f t="shared" si="33"/>
        <v>168.53580802739796</v>
      </c>
      <c r="K59" s="427">
        <f t="shared" si="33"/>
        <v>168.53580802739796</v>
      </c>
      <c r="L59" s="427">
        <f t="shared" si="33"/>
        <v>165.69053868493197</v>
      </c>
      <c r="M59" s="427">
        <f t="shared" si="33"/>
        <v>168.53580802739796</v>
      </c>
      <c r="N59" s="427">
        <f t="shared" si="33"/>
        <v>168.53580802739796</v>
      </c>
      <c r="O59" s="427">
        <f t="shared" si="33"/>
        <v>165.69053868493197</v>
      </c>
      <c r="P59" s="427">
        <f t="shared" si="33"/>
        <v>168.53580802739796</v>
      </c>
      <c r="Q59" s="427">
        <f t="shared" si="33"/>
        <v>168.53580802739796</v>
      </c>
      <c r="R59" s="427">
        <f t="shared" si="33"/>
        <v>168.53580802739796</v>
      </c>
      <c r="S59" s="427">
        <f t="shared" si="33"/>
        <v>168.53580802739796</v>
      </c>
    </row>
    <row r="60" spans="2:19" ht="12.95" customHeight="1" x14ac:dyDescent="0.15">
      <c r="B60" s="563"/>
      <c r="C60" s="169" t="s">
        <v>334</v>
      </c>
      <c r="D60" s="170" t="s">
        <v>31</v>
      </c>
      <c r="E60" s="426">
        <f t="shared" ref="E60:S60" si="34">4/3*(E20/E56)</f>
        <v>29.568906374215093</v>
      </c>
      <c r="F60" s="427">
        <f t="shared" si="34"/>
        <v>29.568906374215093</v>
      </c>
      <c r="G60" s="427">
        <f t="shared" si="34"/>
        <v>29.568906374215093</v>
      </c>
      <c r="H60" s="427">
        <f t="shared" si="34"/>
        <v>29.568906374215093</v>
      </c>
      <c r="I60" s="427">
        <f t="shared" si="34"/>
        <v>19.712604249476726</v>
      </c>
      <c r="J60" s="427">
        <f t="shared" si="34"/>
        <v>29.568906374215093</v>
      </c>
      <c r="K60" s="427">
        <f t="shared" si="34"/>
        <v>29.568906374215093</v>
      </c>
      <c r="L60" s="427">
        <f t="shared" si="34"/>
        <v>19.712604249476726</v>
      </c>
      <c r="M60" s="427">
        <f t="shared" si="34"/>
        <v>29.568906374215093</v>
      </c>
      <c r="N60" s="427">
        <f t="shared" si="34"/>
        <v>29.568906374215093</v>
      </c>
      <c r="O60" s="427">
        <f t="shared" si="34"/>
        <v>19.712604249476726</v>
      </c>
      <c r="P60" s="427">
        <f t="shared" si="34"/>
        <v>29.568906374215093</v>
      </c>
      <c r="Q60" s="427">
        <f t="shared" si="34"/>
        <v>29.568906374215093</v>
      </c>
      <c r="R60" s="427">
        <f t="shared" si="34"/>
        <v>29.568906374215093</v>
      </c>
      <c r="S60" s="427">
        <f t="shared" si="34"/>
        <v>29.568906374215093</v>
      </c>
    </row>
    <row r="61" spans="2:19" ht="12.95" customHeight="1" x14ac:dyDescent="0.15">
      <c r="B61" s="564"/>
      <c r="C61" s="171" t="s">
        <v>336</v>
      </c>
      <c r="D61" s="172"/>
      <c r="E61" s="430" t="str">
        <f t="shared" ref="E61:S61" si="35">IF(E59&gt;E60,"OK","NG")</f>
        <v>OK</v>
      </c>
      <c r="F61" s="431" t="str">
        <f t="shared" si="35"/>
        <v>OK</v>
      </c>
      <c r="G61" s="431" t="str">
        <f t="shared" si="35"/>
        <v>OK</v>
      </c>
      <c r="H61" s="431" t="str">
        <f t="shared" si="35"/>
        <v>OK</v>
      </c>
      <c r="I61" s="431" t="str">
        <f t="shared" si="35"/>
        <v>OK</v>
      </c>
      <c r="J61" s="431" t="str">
        <f t="shared" si="35"/>
        <v>OK</v>
      </c>
      <c r="K61" s="431" t="str">
        <f t="shared" si="35"/>
        <v>OK</v>
      </c>
      <c r="L61" s="431" t="str">
        <f t="shared" si="35"/>
        <v>OK</v>
      </c>
      <c r="M61" s="431" t="str">
        <f t="shared" si="35"/>
        <v>OK</v>
      </c>
      <c r="N61" s="431" t="str">
        <f t="shared" si="35"/>
        <v>OK</v>
      </c>
      <c r="O61" s="431" t="str">
        <f t="shared" si="35"/>
        <v>OK</v>
      </c>
      <c r="P61" s="431" t="str">
        <f t="shared" si="35"/>
        <v>OK</v>
      </c>
      <c r="Q61" s="431" t="str">
        <f t="shared" si="35"/>
        <v>OK</v>
      </c>
      <c r="R61" s="431" t="str">
        <f t="shared" si="35"/>
        <v>OK</v>
      </c>
      <c r="S61" s="431" t="str">
        <f t="shared" si="35"/>
        <v>OK</v>
      </c>
    </row>
    <row r="62" spans="2:19" ht="12" customHeight="1" x14ac:dyDescent="0.15"/>
    <row r="63" spans="2:19" ht="12" customHeight="1" x14ac:dyDescent="0.15"/>
    <row r="64" spans="2:19"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S52">
    <cfRule type="cellIs" dxfId="5" priority="1" stopIfTrue="1" operator="equal">
      <formula>"NG"</formula>
    </cfRule>
  </conditionalFormatting>
  <conditionalFormatting sqref="E55:S55 E61:S61">
    <cfRule type="cellIs" dxfId="4" priority="2" stopIfTrue="1" operator="equal">
      <formula>"NG"</formula>
    </cfRule>
  </conditionalFormatting>
  <pageMargins left="0.7" right="0.7" top="0.75" bottom="0.75" header="0.3" footer="0.3"/>
  <pageSetup paperSize="9" fitToWidth="2" orientation="portrait" blackAndWhite="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74"/>
  <sheetViews>
    <sheetView view="pageBreakPreview" topLeftCell="I1" zoomScale="75" zoomScaleNormal="85" zoomScaleSheetLayoutView="75" workbookViewId="0">
      <selection activeCell="R38" sqref="R38"/>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customWidth="1"/>
    <col min="8" max="10" width="9" style="39" customWidth="1"/>
    <col min="11" max="11" width="10" style="39" customWidth="1"/>
    <col min="12" max="13" width="10.375" style="39" customWidth="1"/>
    <col min="14" max="17" width="11.75" style="39" customWidth="1"/>
    <col min="18" max="18" width="2.625" style="39" customWidth="1"/>
    <col min="19" max="22" width="11.75" style="39" customWidth="1"/>
    <col min="23" max="23" width="2.625" style="39" customWidth="1"/>
    <col min="24" max="27" width="11.75" style="39" customWidth="1"/>
    <col min="28" max="28" width="2.625" style="39" customWidth="1"/>
    <col min="29" max="32" width="11.75" style="39" customWidth="1"/>
    <col min="33" max="33" width="2.625" style="39" customWidth="1"/>
    <col min="34" max="43" width="11.75" style="39" customWidth="1"/>
    <col min="44" max="49" width="3.875" style="39" customWidth="1"/>
    <col min="50" max="76" width="9" style="39" customWidth="1"/>
    <col min="77" max="16384" width="9" style="39"/>
  </cols>
  <sheetData>
    <row r="1" spans="1:42" x14ac:dyDescent="0.15">
      <c r="A1" s="27" t="s">
        <v>232</v>
      </c>
      <c r="K1" s="39" t="s">
        <v>233</v>
      </c>
      <c r="O1" s="39" t="s">
        <v>374</v>
      </c>
    </row>
    <row r="3" spans="1:42" x14ac:dyDescent="0.15">
      <c r="A3" s="39" t="s">
        <v>234</v>
      </c>
      <c r="K3" s="566" t="s">
        <v>5</v>
      </c>
      <c r="L3" s="567"/>
      <c r="M3" s="159"/>
      <c r="N3" s="111" t="s">
        <v>9</v>
      </c>
      <c r="O3" s="107" t="str">
        <f>鉛直!P6</f>
        <v>F2</v>
      </c>
      <c r="P3" s="107" t="s">
        <v>7</v>
      </c>
      <c r="Q3" s="107" t="s">
        <v>9</v>
      </c>
      <c r="R3" s="107"/>
      <c r="S3" s="107" t="s">
        <v>235</v>
      </c>
      <c r="T3" s="107" t="s">
        <v>235</v>
      </c>
      <c r="U3" s="107" t="s">
        <v>235</v>
      </c>
      <c r="V3" s="107" t="s">
        <v>235</v>
      </c>
      <c r="W3" s="107"/>
      <c r="X3" s="107" t="s">
        <v>7</v>
      </c>
      <c r="Y3" s="107" t="s">
        <v>6</v>
      </c>
      <c r="Z3" s="107" t="s">
        <v>6</v>
      </c>
      <c r="AA3" s="107" t="s">
        <v>7</v>
      </c>
      <c r="AB3" s="107"/>
      <c r="AC3" s="107" t="s">
        <v>235</v>
      </c>
      <c r="AD3" s="107" t="s">
        <v>235</v>
      </c>
      <c r="AE3" s="107" t="s">
        <v>235</v>
      </c>
      <c r="AF3" s="107" t="s">
        <v>235</v>
      </c>
      <c r="AG3" s="107"/>
      <c r="AH3" s="107" t="s">
        <v>9</v>
      </c>
      <c r="AI3" s="107" t="s">
        <v>8</v>
      </c>
      <c r="AJ3" s="107" t="s">
        <v>8</v>
      </c>
      <c r="AK3" s="108" t="s">
        <v>9</v>
      </c>
      <c r="AL3" s="139"/>
      <c r="AM3" s="140"/>
      <c r="AN3" s="140"/>
      <c r="AO3" s="140"/>
      <c r="AP3" s="141"/>
    </row>
    <row r="4" spans="1:42" x14ac:dyDescent="0.15">
      <c r="B4" s="39" t="s">
        <v>236</v>
      </c>
      <c r="J4" s="29" t="s">
        <v>237</v>
      </c>
      <c r="K4" s="565" t="s">
        <v>10</v>
      </c>
      <c r="L4" s="555"/>
      <c r="M4" s="158"/>
      <c r="N4" s="112" t="s">
        <v>375</v>
      </c>
      <c r="O4" s="109" t="s">
        <v>376</v>
      </c>
      <c r="P4" s="109" t="s">
        <v>377</v>
      </c>
      <c r="Q4" s="109" t="s">
        <v>378</v>
      </c>
      <c r="R4" s="109"/>
      <c r="S4" s="109" t="s">
        <v>379</v>
      </c>
      <c r="T4" s="109" t="s">
        <v>380</v>
      </c>
      <c r="U4" s="109" t="s">
        <v>381</v>
      </c>
      <c r="V4" s="109" t="s">
        <v>382</v>
      </c>
      <c r="W4" s="109"/>
      <c r="X4" s="109" t="s">
        <v>383</v>
      </c>
      <c r="Y4" s="109" t="s">
        <v>12</v>
      </c>
      <c r="Z4" s="109" t="s">
        <v>384</v>
      </c>
      <c r="AA4" s="109" t="s">
        <v>385</v>
      </c>
      <c r="AB4" s="109"/>
      <c r="AC4" s="109" t="s">
        <v>386</v>
      </c>
      <c r="AD4" s="109" t="s">
        <v>387</v>
      </c>
      <c r="AE4" s="109" t="s">
        <v>388</v>
      </c>
      <c r="AF4" s="109" t="s">
        <v>389</v>
      </c>
      <c r="AG4" s="109"/>
      <c r="AH4" s="109" t="s">
        <v>390</v>
      </c>
      <c r="AI4" s="109" t="s">
        <v>391</v>
      </c>
      <c r="AJ4" s="109" t="s">
        <v>392</v>
      </c>
      <c r="AK4" s="110" t="s">
        <v>393</v>
      </c>
      <c r="AL4" s="142"/>
      <c r="AM4" s="143"/>
      <c r="AN4" s="143"/>
      <c r="AO4" s="143"/>
      <c r="AP4" s="144"/>
    </row>
    <row r="5" spans="1:42" x14ac:dyDescent="0.15">
      <c r="J5" s="29"/>
      <c r="K5" s="129" t="s">
        <v>394</v>
      </c>
      <c r="L5" s="130">
        <v>448.3</v>
      </c>
      <c r="M5" s="124" t="s">
        <v>358</v>
      </c>
      <c r="N5" s="131"/>
      <c r="O5" s="132"/>
      <c r="P5" s="132"/>
      <c r="Q5" s="132"/>
      <c r="R5" s="132"/>
      <c r="S5" s="132"/>
      <c r="T5" s="132"/>
      <c r="U5" s="132"/>
      <c r="V5" s="132"/>
      <c r="W5" s="132"/>
      <c r="X5" s="132"/>
      <c r="Y5" s="132"/>
      <c r="Z5" s="132"/>
      <c r="AA5" s="132"/>
      <c r="AB5" s="132"/>
      <c r="AC5" s="132"/>
      <c r="AD5" s="132"/>
      <c r="AE5" s="132"/>
      <c r="AF5" s="132"/>
      <c r="AG5" s="132"/>
      <c r="AH5" s="132"/>
      <c r="AI5" s="132"/>
      <c r="AJ5" s="132"/>
      <c r="AK5" s="136"/>
      <c r="AL5" s="145"/>
      <c r="AM5" s="120"/>
      <c r="AN5" s="120"/>
      <c r="AO5" s="120"/>
      <c r="AP5" s="146"/>
    </row>
    <row r="6" spans="1:42" x14ac:dyDescent="0.15">
      <c r="J6" s="29"/>
      <c r="K6" s="115" t="s">
        <v>395</v>
      </c>
      <c r="L6" s="480">
        <v>1376.5</v>
      </c>
      <c r="M6" s="125" t="s">
        <v>358</v>
      </c>
      <c r="N6" s="116"/>
      <c r="O6" s="117"/>
      <c r="P6" s="117"/>
      <c r="Q6" s="117"/>
      <c r="R6" s="117"/>
      <c r="S6" s="117"/>
      <c r="T6" s="117"/>
      <c r="U6" s="117"/>
      <c r="V6" s="117"/>
      <c r="W6" s="117"/>
      <c r="X6" s="117"/>
      <c r="Y6" s="117"/>
      <c r="Z6" s="117"/>
      <c r="AA6" s="117"/>
      <c r="AB6" s="117"/>
      <c r="AC6" s="117"/>
      <c r="AD6" s="117"/>
      <c r="AE6" s="117"/>
      <c r="AF6" s="117"/>
      <c r="AG6" s="117"/>
      <c r="AH6" s="117"/>
      <c r="AI6" s="117"/>
      <c r="AJ6" s="117"/>
      <c r="AK6" s="137"/>
      <c r="AL6" s="145"/>
      <c r="AM6" s="120"/>
      <c r="AN6" s="120"/>
      <c r="AO6" s="120"/>
      <c r="AP6" s="146"/>
    </row>
    <row r="7" spans="1:42" x14ac:dyDescent="0.15">
      <c r="J7" s="29"/>
      <c r="K7" s="115" t="s">
        <v>396</v>
      </c>
      <c r="L7" s="480">
        <f>+L6*0.16</f>
        <v>220.24</v>
      </c>
      <c r="M7" s="125" t="s">
        <v>358</v>
      </c>
      <c r="N7" s="116"/>
      <c r="O7" s="117"/>
      <c r="P7" s="117"/>
      <c r="Q7" s="117"/>
      <c r="R7" s="117"/>
      <c r="S7" s="117"/>
      <c r="T7" s="117"/>
      <c r="U7" s="117"/>
      <c r="V7" s="117"/>
      <c r="W7" s="117"/>
      <c r="X7" s="117"/>
      <c r="Y7" s="117"/>
      <c r="Z7" s="117"/>
      <c r="AA7" s="117"/>
      <c r="AB7" s="117"/>
      <c r="AC7" s="117"/>
      <c r="AD7" s="117"/>
      <c r="AE7" s="117"/>
      <c r="AF7" s="117"/>
      <c r="AG7" s="117"/>
      <c r="AH7" s="117"/>
      <c r="AI7" s="117"/>
      <c r="AJ7" s="117"/>
      <c r="AK7" s="137"/>
      <c r="AL7" s="145"/>
      <c r="AM7" s="120"/>
      <c r="AN7" s="120"/>
      <c r="AO7" s="120"/>
      <c r="AP7" s="146"/>
    </row>
    <row r="8" spans="1:42" x14ac:dyDescent="0.15">
      <c r="J8" s="29"/>
      <c r="K8" s="115" t="s">
        <v>397</v>
      </c>
      <c r="L8" s="480">
        <f>+L7+L5</f>
        <v>668.54</v>
      </c>
      <c r="M8" s="125" t="s">
        <v>358</v>
      </c>
      <c r="N8" s="116"/>
      <c r="O8" s="117"/>
      <c r="P8" s="117"/>
      <c r="Q8" s="117"/>
      <c r="R8" s="117"/>
      <c r="S8" s="117"/>
      <c r="T8" s="117"/>
      <c r="U8" s="117"/>
      <c r="V8" s="117"/>
      <c r="W8" s="117"/>
      <c r="X8" s="117"/>
      <c r="Y8" s="117"/>
      <c r="Z8" s="117"/>
      <c r="AA8" s="117"/>
      <c r="AB8" s="117"/>
      <c r="AC8" s="117"/>
      <c r="AD8" s="117"/>
      <c r="AE8" s="117"/>
      <c r="AF8" s="117"/>
      <c r="AG8" s="117"/>
      <c r="AH8" s="117"/>
      <c r="AI8" s="117"/>
      <c r="AJ8" s="117"/>
      <c r="AK8" s="137"/>
      <c r="AL8" s="145"/>
      <c r="AM8" s="120"/>
      <c r="AN8" s="120"/>
      <c r="AO8" s="120"/>
      <c r="AP8" s="146"/>
    </row>
    <row r="9" spans="1:42" x14ac:dyDescent="0.15">
      <c r="J9" s="29"/>
      <c r="K9" s="133" t="s">
        <v>398</v>
      </c>
      <c r="L9" s="481">
        <f>+AL13</f>
        <v>4655</v>
      </c>
      <c r="M9" s="126" t="s">
        <v>358</v>
      </c>
      <c r="N9" s="134"/>
      <c r="O9" s="135"/>
      <c r="P9" s="135"/>
      <c r="Q9" s="135"/>
      <c r="R9" s="135"/>
      <c r="S9" s="135"/>
      <c r="T9" s="135"/>
      <c r="U9" s="135"/>
      <c r="V9" s="135"/>
      <c r="W9" s="135"/>
      <c r="X9" s="135"/>
      <c r="Y9" s="135"/>
      <c r="Z9" s="135"/>
      <c r="AA9" s="135"/>
      <c r="AB9" s="135"/>
      <c r="AC9" s="135"/>
      <c r="AD9" s="135"/>
      <c r="AE9" s="135"/>
      <c r="AF9" s="135"/>
      <c r="AG9" s="135"/>
      <c r="AH9" s="135"/>
      <c r="AI9" s="135"/>
      <c r="AJ9" s="135"/>
      <c r="AK9" s="138"/>
      <c r="AL9" s="145"/>
      <c r="AM9" s="120"/>
      <c r="AN9" s="120"/>
      <c r="AO9" s="120"/>
      <c r="AP9" s="146"/>
    </row>
    <row r="10" spans="1:42" x14ac:dyDescent="0.15">
      <c r="K10" s="583" t="s">
        <v>238</v>
      </c>
      <c r="L10" s="127" t="s">
        <v>239</v>
      </c>
      <c r="M10" s="128" t="s">
        <v>20</v>
      </c>
      <c r="N10" s="482">
        <v>1</v>
      </c>
      <c r="O10" s="302">
        <v>2</v>
      </c>
      <c r="P10" s="302">
        <v>2</v>
      </c>
      <c r="Q10" s="302">
        <v>1</v>
      </c>
      <c r="R10" s="302"/>
      <c r="S10" s="302">
        <v>1</v>
      </c>
      <c r="T10" s="302">
        <v>1</v>
      </c>
      <c r="U10" s="302">
        <v>1</v>
      </c>
      <c r="V10" s="302">
        <v>1</v>
      </c>
      <c r="W10" s="140"/>
      <c r="X10" s="140">
        <v>2</v>
      </c>
      <c r="Y10" s="140">
        <v>2</v>
      </c>
      <c r="Z10" s="140">
        <v>2</v>
      </c>
      <c r="AA10" s="140">
        <v>2</v>
      </c>
      <c r="AB10" s="140"/>
      <c r="AC10" s="140">
        <v>1</v>
      </c>
      <c r="AD10" s="120">
        <v>1</v>
      </c>
      <c r="AE10" s="120">
        <v>1</v>
      </c>
      <c r="AF10" s="120">
        <v>1</v>
      </c>
      <c r="AG10" s="120"/>
      <c r="AH10" s="120">
        <v>1</v>
      </c>
      <c r="AI10" s="120">
        <v>1</v>
      </c>
      <c r="AJ10" s="120">
        <v>1</v>
      </c>
      <c r="AK10" s="121">
        <v>1</v>
      </c>
      <c r="AL10" s="147"/>
      <c r="AM10" s="148"/>
      <c r="AN10" s="148"/>
      <c r="AO10" s="148"/>
      <c r="AP10" s="149"/>
    </row>
    <row r="11" spans="1:42" x14ac:dyDescent="0.15">
      <c r="B11" s="39" t="s">
        <v>240</v>
      </c>
      <c r="D11" s="39" t="s">
        <v>237</v>
      </c>
      <c r="K11" s="549"/>
      <c r="L11" s="9" t="s">
        <v>241</v>
      </c>
      <c r="M11" s="46" t="s">
        <v>20</v>
      </c>
      <c r="N11" s="304">
        <v>2</v>
      </c>
      <c r="O11" s="305">
        <f>鉛直!P17</f>
        <v>2</v>
      </c>
      <c r="P11" s="305">
        <v>2</v>
      </c>
      <c r="Q11" s="305">
        <f>鉛直!R17</f>
        <v>3</v>
      </c>
      <c r="R11" s="305"/>
      <c r="S11" s="305">
        <v>1</v>
      </c>
      <c r="T11" s="305">
        <v>1</v>
      </c>
      <c r="U11" s="305">
        <v>1</v>
      </c>
      <c r="V11" s="305">
        <v>1</v>
      </c>
      <c r="W11" s="120"/>
      <c r="X11" s="120">
        <v>2</v>
      </c>
      <c r="Y11" s="120">
        <v>3</v>
      </c>
      <c r="Z11" s="120">
        <v>3</v>
      </c>
      <c r="AA11" s="120">
        <v>2</v>
      </c>
      <c r="AB11" s="120"/>
      <c r="AC11" s="120">
        <v>1</v>
      </c>
      <c r="AD11" s="120">
        <v>1</v>
      </c>
      <c r="AE11" s="120">
        <v>1</v>
      </c>
      <c r="AF11" s="120">
        <v>1</v>
      </c>
      <c r="AG11" s="120"/>
      <c r="AH11" s="120">
        <v>2</v>
      </c>
      <c r="AI11" s="120">
        <v>3</v>
      </c>
      <c r="AJ11" s="120">
        <v>3</v>
      </c>
      <c r="AK11" s="121">
        <v>2</v>
      </c>
      <c r="AL11" s="150"/>
      <c r="AM11" s="151"/>
      <c r="AN11" s="151"/>
      <c r="AO11" s="151"/>
      <c r="AP11" s="152"/>
    </row>
    <row r="12" spans="1:42" x14ac:dyDescent="0.15">
      <c r="B12" s="27" t="s">
        <v>242</v>
      </c>
      <c r="D12" s="39">
        <f>0.2*F13</f>
        <v>0.16000000000000003</v>
      </c>
      <c r="F12" s="27" t="s">
        <v>243</v>
      </c>
      <c r="K12" s="549"/>
      <c r="L12" s="9" t="s">
        <v>244</v>
      </c>
      <c r="M12" s="46" t="s">
        <v>20</v>
      </c>
      <c r="N12" s="483">
        <v>1.08</v>
      </c>
      <c r="O12" s="484">
        <v>1.08</v>
      </c>
      <c r="P12" s="484">
        <v>1.08</v>
      </c>
      <c r="Q12" s="484">
        <v>1.08</v>
      </c>
      <c r="R12" s="484"/>
      <c r="S12" s="484">
        <v>1.08</v>
      </c>
      <c r="T12" s="484">
        <v>1.08</v>
      </c>
      <c r="U12" s="484">
        <v>1.08</v>
      </c>
      <c r="V12" s="484">
        <v>1.08</v>
      </c>
      <c r="W12" s="484"/>
      <c r="X12" s="484">
        <v>1.08</v>
      </c>
      <c r="Y12" s="484">
        <v>1.08</v>
      </c>
      <c r="Z12" s="484">
        <v>1.08</v>
      </c>
      <c r="AA12" s="484">
        <v>1.08</v>
      </c>
      <c r="AB12" s="484"/>
      <c r="AC12" s="484">
        <v>1.08</v>
      </c>
      <c r="AD12" s="484">
        <v>1.08</v>
      </c>
      <c r="AE12" s="484">
        <v>1.08</v>
      </c>
      <c r="AF12" s="484">
        <v>1.08</v>
      </c>
      <c r="AG12" s="484"/>
      <c r="AH12" s="484">
        <v>1.08</v>
      </c>
      <c r="AI12" s="484">
        <v>1.08</v>
      </c>
      <c r="AJ12" s="484">
        <v>1.08</v>
      </c>
      <c r="AK12" s="485">
        <v>1.08</v>
      </c>
      <c r="AL12" s="486"/>
      <c r="AM12" s="308"/>
      <c r="AN12" s="308"/>
      <c r="AO12" s="308"/>
      <c r="AP12" s="487"/>
    </row>
    <row r="13" spans="1:42" x14ac:dyDescent="0.15">
      <c r="B13" s="27" t="s">
        <v>245</v>
      </c>
      <c r="D13" s="39">
        <f>0.1*F13</f>
        <v>8.0000000000000016E-2</v>
      </c>
      <c r="F13" s="28">
        <v>0.8</v>
      </c>
      <c r="K13" s="549"/>
      <c r="L13" s="9" t="s">
        <v>246</v>
      </c>
      <c r="M13" s="46" t="s">
        <v>126</v>
      </c>
      <c r="N13" s="488">
        <v>235</v>
      </c>
      <c r="O13" s="489">
        <v>370</v>
      </c>
      <c r="P13" s="489">
        <v>352</v>
      </c>
      <c r="Q13" s="489">
        <v>225</v>
      </c>
      <c r="R13" s="489"/>
      <c r="S13" s="489">
        <v>60</v>
      </c>
      <c r="T13" s="122">
        <v>38</v>
      </c>
      <c r="U13" s="122">
        <v>39</v>
      </c>
      <c r="V13" s="122">
        <v>61</v>
      </c>
      <c r="W13" s="122"/>
      <c r="X13" s="122">
        <v>444</v>
      </c>
      <c r="Y13" s="122">
        <v>592</v>
      </c>
      <c r="Z13" s="122">
        <v>566</v>
      </c>
      <c r="AA13" s="122">
        <v>410</v>
      </c>
      <c r="AB13" s="122"/>
      <c r="AC13" s="122">
        <v>57</v>
      </c>
      <c r="AD13" s="122">
        <v>36</v>
      </c>
      <c r="AE13" s="122">
        <v>36</v>
      </c>
      <c r="AF13" s="122">
        <v>57</v>
      </c>
      <c r="AG13" s="122"/>
      <c r="AH13" s="122">
        <v>217</v>
      </c>
      <c r="AI13" s="122">
        <v>335</v>
      </c>
      <c r="AJ13" s="122">
        <v>321</v>
      </c>
      <c r="AK13" s="123">
        <v>204</v>
      </c>
      <c r="AL13" s="490">
        <f>SUM(N13:AK13)</f>
        <v>4655</v>
      </c>
      <c r="AM13" s="151"/>
      <c r="AN13" s="151"/>
      <c r="AO13" s="151"/>
      <c r="AP13" s="152"/>
    </row>
    <row r="14" spans="1:42" x14ac:dyDescent="0.15">
      <c r="B14" s="39" t="s">
        <v>247</v>
      </c>
      <c r="D14" s="39" t="s">
        <v>237</v>
      </c>
      <c r="K14" s="549"/>
      <c r="L14" s="9" t="s">
        <v>248</v>
      </c>
      <c r="M14" s="46" t="s">
        <v>126</v>
      </c>
      <c r="N14" s="488">
        <v>-28</v>
      </c>
      <c r="O14" s="489">
        <v>-3</v>
      </c>
      <c r="P14" s="489">
        <v>0</v>
      </c>
      <c r="Q14" s="489">
        <v>32</v>
      </c>
      <c r="R14" s="489"/>
      <c r="S14" s="489">
        <v>0</v>
      </c>
      <c r="T14" s="122">
        <v>0</v>
      </c>
      <c r="U14" s="122">
        <v>0</v>
      </c>
      <c r="V14" s="122">
        <v>0</v>
      </c>
      <c r="W14" s="122"/>
      <c r="X14" s="122">
        <v>-44</v>
      </c>
      <c r="Y14" s="122">
        <v>15</v>
      </c>
      <c r="Z14" s="122">
        <v>-20</v>
      </c>
      <c r="AA14" s="122">
        <v>49</v>
      </c>
      <c r="AB14" s="122"/>
      <c r="AC14" s="122">
        <v>0</v>
      </c>
      <c r="AD14" s="122">
        <v>0</v>
      </c>
      <c r="AE14" s="122">
        <v>0</v>
      </c>
      <c r="AF14" s="122">
        <v>0</v>
      </c>
      <c r="AG14" s="122"/>
      <c r="AH14" s="122">
        <v>-31</v>
      </c>
      <c r="AI14" s="122">
        <v>-4</v>
      </c>
      <c r="AJ14" s="122">
        <v>1</v>
      </c>
      <c r="AK14" s="123">
        <v>35</v>
      </c>
      <c r="AL14" s="490"/>
      <c r="AM14" s="151"/>
      <c r="AN14" s="151"/>
      <c r="AO14" s="151"/>
      <c r="AP14" s="152"/>
    </row>
    <row r="15" spans="1:42" x14ac:dyDescent="0.15">
      <c r="B15" s="39" t="s">
        <v>249</v>
      </c>
      <c r="K15" s="549"/>
      <c r="L15" s="9" t="s">
        <v>399</v>
      </c>
      <c r="M15" s="46" t="s">
        <v>126</v>
      </c>
      <c r="N15" s="304">
        <f>SUM(N13:N14)</f>
        <v>207</v>
      </c>
      <c r="O15" s="305">
        <f>SUM(O13:O14)</f>
        <v>367</v>
      </c>
      <c r="P15" s="305">
        <f>SUM(P13:P14)</f>
        <v>352</v>
      </c>
      <c r="Q15" s="305">
        <f>SUM(Q13:Q14)</f>
        <v>257</v>
      </c>
      <c r="R15" s="305"/>
      <c r="S15" s="305">
        <f>SUM(S13:S14)</f>
        <v>60</v>
      </c>
      <c r="T15" s="305">
        <f>SUM(T13:T14)</f>
        <v>38</v>
      </c>
      <c r="U15" s="305">
        <f>SUM(U13:U14)</f>
        <v>39</v>
      </c>
      <c r="V15" s="305">
        <f>SUM(V13:V14)</f>
        <v>61</v>
      </c>
      <c r="W15" s="305"/>
      <c r="X15" s="305">
        <f>SUM(X13:X14)</f>
        <v>400</v>
      </c>
      <c r="Y15" s="305">
        <f>SUM(Y13:Y14)</f>
        <v>607</v>
      </c>
      <c r="Z15" s="305">
        <f>SUM(Z13:Z14)</f>
        <v>546</v>
      </c>
      <c r="AA15" s="305">
        <f>SUM(AA13:AA14)</f>
        <v>459</v>
      </c>
      <c r="AB15" s="305"/>
      <c r="AC15" s="305">
        <f>SUM(AC13:AC14)</f>
        <v>57</v>
      </c>
      <c r="AD15" s="305">
        <f>SUM(AD13:AD14)</f>
        <v>36</v>
      </c>
      <c r="AE15" s="305">
        <f>SUM(AE13:AE14)</f>
        <v>36</v>
      </c>
      <c r="AF15" s="305">
        <f>SUM(AF13:AF14)</f>
        <v>57</v>
      </c>
      <c r="AG15" s="305"/>
      <c r="AH15" s="305">
        <f>SUM(AH13:AH14)</f>
        <v>186</v>
      </c>
      <c r="AI15" s="305">
        <f>SUM(AI13:AI14)</f>
        <v>331</v>
      </c>
      <c r="AJ15" s="305">
        <f>SUM(AJ13:AJ14)</f>
        <v>322</v>
      </c>
      <c r="AK15" s="306">
        <f>SUM(AK13:AK14)</f>
        <v>239</v>
      </c>
      <c r="AL15" s="490">
        <f t="shared" ref="AL15:AL21" si="0">SUM(N15:AK15)</f>
        <v>4657</v>
      </c>
      <c r="AM15" s="305"/>
      <c r="AN15" s="305"/>
      <c r="AO15" s="305"/>
      <c r="AP15" s="491"/>
    </row>
    <row r="16" spans="1:42" x14ac:dyDescent="0.15">
      <c r="K16" s="549"/>
      <c r="L16" s="118" t="s">
        <v>400</v>
      </c>
      <c r="M16" s="46" t="s">
        <v>126</v>
      </c>
      <c r="N16" s="304">
        <f>+$L$8*N15/$L$9</f>
        <v>29.728846401718581</v>
      </c>
      <c r="O16" s="305">
        <f>+$L$8*O15/$L$9</f>
        <v>52.707664876476905</v>
      </c>
      <c r="P16" s="305">
        <f>+$L$8*P15/$L$9</f>
        <v>50.553400644468311</v>
      </c>
      <c r="Q16" s="305">
        <f>+$L$8*Q15/$L$9</f>
        <v>36.909727175080562</v>
      </c>
      <c r="R16" s="305"/>
      <c r="S16" s="305">
        <f>+$L$8*S15/$L$9</f>
        <v>8.617056928034371</v>
      </c>
      <c r="T16" s="305">
        <f>+$L$8*T15/$L$9</f>
        <v>5.4574693877551015</v>
      </c>
      <c r="U16" s="305">
        <f>+$L$8*U15/$L$9</f>
        <v>5.6010870032223412</v>
      </c>
      <c r="V16" s="305">
        <f>+$L$8*V15/$L$9</f>
        <v>8.7606745435016098</v>
      </c>
      <c r="W16" s="305"/>
      <c r="X16" s="305">
        <f>+$L$8*X15/$L$9</f>
        <v>57.447046186895811</v>
      </c>
      <c r="Y16" s="305">
        <f>+$L$8*Y15/$L$9</f>
        <v>87.175892588614389</v>
      </c>
      <c r="Z16" s="305">
        <f>+$L$8*Z15/$L$9</f>
        <v>78.41521804511278</v>
      </c>
      <c r="AA16" s="305">
        <f>+$L$8*AA15/$L$9</f>
        <v>65.920485499462941</v>
      </c>
      <c r="AB16" s="305"/>
      <c r="AC16" s="305">
        <f>+$L$8*AC15/$L$9</f>
        <v>8.1862040816326527</v>
      </c>
      <c r="AD16" s="305">
        <f>+$L$8*AD15/$L$9</f>
        <v>5.1702341568206229</v>
      </c>
      <c r="AE16" s="305">
        <f>+$L$8*AE15/$L$9</f>
        <v>5.1702341568206229</v>
      </c>
      <c r="AF16" s="305">
        <f>+$L$8*AF15/$L$9</f>
        <v>8.1862040816326527</v>
      </c>
      <c r="AG16" s="305"/>
      <c r="AH16" s="305">
        <f>+$L$8*AH15/$L$9</f>
        <v>26.712876476906551</v>
      </c>
      <c r="AI16" s="305">
        <f>+$L$8*AI15/$L$9</f>
        <v>47.537430719656278</v>
      </c>
      <c r="AJ16" s="305">
        <f>+$L$8*AJ15/$L$9</f>
        <v>46.244872180451125</v>
      </c>
      <c r="AK16" s="306">
        <f>+$L$8*AK15/$L$9</f>
        <v>34.324610096670249</v>
      </c>
      <c r="AL16" s="490">
        <f t="shared" si="0"/>
        <v>668.82723523093443</v>
      </c>
      <c r="AM16" s="305"/>
      <c r="AN16" s="305"/>
      <c r="AO16" s="305"/>
      <c r="AP16" s="491"/>
    </row>
    <row r="17" spans="1:42" x14ac:dyDescent="0.15">
      <c r="K17" s="549"/>
      <c r="L17" s="9" t="s">
        <v>251</v>
      </c>
      <c r="M17" s="46" t="s">
        <v>126</v>
      </c>
      <c r="N17" s="304">
        <f>ROUNDDOWN(N10*N11*N12*20,1)</f>
        <v>43.2</v>
      </c>
      <c r="O17" s="305">
        <f>ROUNDDOWN(O10*O11*O12*20,1)</f>
        <v>86.4</v>
      </c>
      <c r="P17" s="305">
        <f>ROUNDDOWN(P10*P11*P12*20,1)</f>
        <v>86.4</v>
      </c>
      <c r="Q17" s="305">
        <f>ROUNDDOWN(Q10*Q11*Q12*20,1)</f>
        <v>64.8</v>
      </c>
      <c r="R17" s="305"/>
      <c r="S17" s="305">
        <f>ROUNDDOWN(S10*S11*S12*20,1)</f>
        <v>21.6</v>
      </c>
      <c r="T17" s="305">
        <f>ROUNDDOWN(T10*T11*T12*20,1)</f>
        <v>21.6</v>
      </c>
      <c r="U17" s="305">
        <f>ROUNDDOWN(U10*U11*U12*20,1)</f>
        <v>21.6</v>
      </c>
      <c r="V17" s="305">
        <f>ROUNDDOWN(V10*V11*V12*20,1)</f>
        <v>21.6</v>
      </c>
      <c r="W17" s="305"/>
      <c r="X17" s="305">
        <f>ROUNDDOWN(X10*X11*X12*20,1)</f>
        <v>86.4</v>
      </c>
      <c r="Y17" s="305">
        <f>ROUNDDOWN(Y10*Y11*Y12*20,1)</f>
        <v>129.6</v>
      </c>
      <c r="Z17" s="305">
        <f>ROUNDDOWN(Z10*Z11*Z12*20,1)</f>
        <v>129.6</v>
      </c>
      <c r="AA17" s="305">
        <f>ROUNDDOWN(AA10*AA11*AA12*20,1)</f>
        <v>86.4</v>
      </c>
      <c r="AB17" s="305"/>
      <c r="AC17" s="305">
        <f>ROUNDDOWN(AC10*AC11*AC12*20,1)</f>
        <v>21.6</v>
      </c>
      <c r="AD17" s="305">
        <f>ROUNDDOWN(AD10*AD11*AD12*20,1)</f>
        <v>21.6</v>
      </c>
      <c r="AE17" s="305">
        <f>ROUNDDOWN(AE10*AE11*AE12*20,1)</f>
        <v>21.6</v>
      </c>
      <c r="AF17" s="305">
        <f>ROUNDDOWN(AF10*AF11*AF12*20,1)</f>
        <v>21.6</v>
      </c>
      <c r="AG17" s="305"/>
      <c r="AH17" s="305">
        <f>ROUNDDOWN(AH10*AH11*AH12*20,1)</f>
        <v>43.2</v>
      </c>
      <c r="AI17" s="305">
        <f>ROUNDDOWN(AI10*AI11*AI12*20,1)</f>
        <v>64.8</v>
      </c>
      <c r="AJ17" s="305">
        <f>ROUNDDOWN(AJ10*AJ11*AJ12*20,1)</f>
        <v>64.8</v>
      </c>
      <c r="AK17" s="306">
        <f>ROUNDDOWN(AK10*AK11*AK12*20,1)</f>
        <v>43.2</v>
      </c>
      <c r="AL17" s="490">
        <f t="shared" si="0"/>
        <v>1101.6000000000004</v>
      </c>
      <c r="AM17" s="305"/>
      <c r="AN17" s="305"/>
      <c r="AO17" s="305"/>
      <c r="AP17" s="491"/>
    </row>
    <row r="18" spans="1:42" x14ac:dyDescent="0.15">
      <c r="A18" s="39" t="s">
        <v>252</v>
      </c>
      <c r="K18" s="549"/>
      <c r="L18" s="9" t="s">
        <v>62</v>
      </c>
      <c r="M18" s="47" t="s">
        <v>63</v>
      </c>
      <c r="N18" s="304">
        <v>2</v>
      </c>
      <c r="O18" s="305">
        <f>鉛直!P18</f>
        <v>2</v>
      </c>
      <c r="P18" s="305">
        <f>鉛直!Q18</f>
        <v>3</v>
      </c>
      <c r="Q18" s="305">
        <f>鉛直!R18</f>
        <v>6</v>
      </c>
      <c r="R18" s="305"/>
      <c r="S18" s="305">
        <v>1</v>
      </c>
      <c r="T18" s="305">
        <v>1</v>
      </c>
      <c r="U18" s="305">
        <v>1</v>
      </c>
      <c r="V18" s="305">
        <v>1</v>
      </c>
      <c r="W18" s="305"/>
      <c r="X18" s="305">
        <v>4</v>
      </c>
      <c r="Y18" s="305">
        <v>6</v>
      </c>
      <c r="Z18" s="305">
        <v>6</v>
      </c>
      <c r="AA18" s="305">
        <v>4</v>
      </c>
      <c r="AB18" s="305"/>
      <c r="AC18" s="305">
        <v>1</v>
      </c>
      <c r="AD18" s="305">
        <v>1</v>
      </c>
      <c r="AE18" s="305">
        <v>1</v>
      </c>
      <c r="AF18" s="305">
        <v>1</v>
      </c>
      <c r="AG18" s="305"/>
      <c r="AH18" s="305">
        <v>2</v>
      </c>
      <c r="AI18" s="305">
        <v>3</v>
      </c>
      <c r="AJ18" s="305">
        <v>3</v>
      </c>
      <c r="AK18" s="306">
        <v>2</v>
      </c>
      <c r="AL18" s="490">
        <f t="shared" si="0"/>
        <v>51</v>
      </c>
      <c r="AM18" s="305"/>
      <c r="AN18" s="305"/>
      <c r="AO18" s="305"/>
      <c r="AP18" s="491"/>
    </row>
    <row r="19" spans="1:42" x14ac:dyDescent="0.15">
      <c r="B19" s="39" t="s">
        <v>253</v>
      </c>
      <c r="K19" s="549"/>
      <c r="L19" s="119" t="s">
        <v>401</v>
      </c>
      <c r="M19" s="49"/>
      <c r="N19" s="321">
        <v>0.08</v>
      </c>
      <c r="O19" s="322">
        <v>0.08</v>
      </c>
      <c r="P19" s="322">
        <v>0.08</v>
      </c>
      <c r="Q19" s="322">
        <v>0.08</v>
      </c>
      <c r="R19" s="322"/>
      <c r="S19" s="322">
        <v>0.08</v>
      </c>
      <c r="T19" s="322">
        <v>0.08</v>
      </c>
      <c r="U19" s="322">
        <v>0.08</v>
      </c>
      <c r="V19" s="322">
        <v>0.08</v>
      </c>
      <c r="W19" s="322"/>
      <c r="X19" s="322">
        <v>0.08</v>
      </c>
      <c r="Y19" s="322">
        <v>0.08</v>
      </c>
      <c r="Z19" s="322">
        <v>0.08</v>
      </c>
      <c r="AA19" s="322">
        <v>0.08</v>
      </c>
      <c r="AB19" s="322"/>
      <c r="AC19" s="322">
        <v>0.08</v>
      </c>
      <c r="AD19" s="322">
        <v>0.08</v>
      </c>
      <c r="AE19" s="322">
        <v>0.08</v>
      </c>
      <c r="AF19" s="322">
        <v>0.08</v>
      </c>
      <c r="AG19" s="322"/>
      <c r="AH19" s="322">
        <v>0.08</v>
      </c>
      <c r="AI19" s="322">
        <v>0.08</v>
      </c>
      <c r="AJ19" s="322">
        <v>0.08</v>
      </c>
      <c r="AK19" s="323">
        <v>0.08</v>
      </c>
      <c r="AL19" s="490">
        <f t="shared" si="0"/>
        <v>1.6000000000000003</v>
      </c>
      <c r="AM19" s="305"/>
      <c r="AN19" s="305"/>
      <c r="AO19" s="305"/>
      <c r="AP19" s="491"/>
    </row>
    <row r="20" spans="1:42" x14ac:dyDescent="0.15">
      <c r="K20" s="549"/>
      <c r="L20" s="113" t="s">
        <v>402</v>
      </c>
      <c r="M20" s="114"/>
      <c r="N20" s="492">
        <f>+N19*N17</f>
        <v>3.4560000000000004</v>
      </c>
      <c r="O20" s="493">
        <f>+O19*O17</f>
        <v>6.9120000000000008</v>
      </c>
      <c r="P20" s="493">
        <f>+P19*P17</f>
        <v>6.9120000000000008</v>
      </c>
      <c r="Q20" s="493">
        <f>+Q19*Q17</f>
        <v>5.1840000000000002</v>
      </c>
      <c r="R20" s="493"/>
      <c r="S20" s="493">
        <f>+S19*S17</f>
        <v>1.7280000000000002</v>
      </c>
      <c r="T20" s="493">
        <f>+T19*T17</f>
        <v>1.7280000000000002</v>
      </c>
      <c r="U20" s="493">
        <f>+U19*U17</f>
        <v>1.7280000000000002</v>
      </c>
      <c r="V20" s="493">
        <f>+V19*V17</f>
        <v>1.7280000000000002</v>
      </c>
      <c r="W20" s="493"/>
      <c r="X20" s="493">
        <f>+X19*X17</f>
        <v>6.9120000000000008</v>
      </c>
      <c r="Y20" s="493">
        <f>+Y19*Y17</f>
        <v>10.368</v>
      </c>
      <c r="Z20" s="493">
        <f>+Z19*Z17</f>
        <v>10.368</v>
      </c>
      <c r="AA20" s="493">
        <f>+AA19*AA17</f>
        <v>6.9120000000000008</v>
      </c>
      <c r="AB20" s="493"/>
      <c r="AC20" s="493">
        <f>+AC19*AC17</f>
        <v>1.7280000000000002</v>
      </c>
      <c r="AD20" s="493">
        <f>+AD19*AD17</f>
        <v>1.7280000000000002</v>
      </c>
      <c r="AE20" s="493">
        <f>+AE19*AE17</f>
        <v>1.7280000000000002</v>
      </c>
      <c r="AF20" s="493">
        <f>+AF19*AF17</f>
        <v>1.7280000000000002</v>
      </c>
      <c r="AG20" s="493"/>
      <c r="AH20" s="493">
        <f>+AH19*AH17</f>
        <v>3.4560000000000004</v>
      </c>
      <c r="AI20" s="493">
        <f>+AI19*AI17</f>
        <v>5.1840000000000002</v>
      </c>
      <c r="AJ20" s="493">
        <f>+AJ19*AJ17</f>
        <v>5.1840000000000002</v>
      </c>
      <c r="AK20" s="494">
        <f>+AK19*AK17</f>
        <v>3.4560000000000004</v>
      </c>
      <c r="AL20" s="490">
        <f t="shared" si="0"/>
        <v>88.128</v>
      </c>
      <c r="AM20" s="305"/>
      <c r="AN20" s="305"/>
      <c r="AO20" s="305"/>
      <c r="AP20" s="491"/>
    </row>
    <row r="21" spans="1:42" x14ac:dyDescent="0.15">
      <c r="K21" s="549"/>
      <c r="L21" s="113" t="s">
        <v>403</v>
      </c>
      <c r="M21" s="114"/>
      <c r="N21" s="492">
        <f>+N20+N16</f>
        <v>33.18484640171858</v>
      </c>
      <c r="O21" s="493">
        <f>+O20+O16</f>
        <v>59.619664876476904</v>
      </c>
      <c r="P21" s="493">
        <f>+P20+P16</f>
        <v>57.465400644468311</v>
      </c>
      <c r="Q21" s="493">
        <f>+Q20+Q16</f>
        <v>42.093727175080559</v>
      </c>
      <c r="R21" s="493"/>
      <c r="S21" s="493">
        <f>+S20+S16</f>
        <v>10.345056928034371</v>
      </c>
      <c r="T21" s="493">
        <f>+T20+T16</f>
        <v>7.1854693877551021</v>
      </c>
      <c r="U21" s="493">
        <f>+U20+U16</f>
        <v>7.329087003222341</v>
      </c>
      <c r="V21" s="493">
        <f>+V20+V16</f>
        <v>10.48867454350161</v>
      </c>
      <c r="W21" s="493"/>
      <c r="X21" s="493">
        <f>+X20+X16</f>
        <v>64.35904618689581</v>
      </c>
      <c r="Y21" s="493">
        <f>+Y20+Y16</f>
        <v>97.543892588614383</v>
      </c>
      <c r="Z21" s="493">
        <f>+Z20+Z16</f>
        <v>88.783218045112775</v>
      </c>
      <c r="AA21" s="493">
        <f>+AA20+AA16</f>
        <v>72.832485499462948</v>
      </c>
      <c r="AB21" s="493"/>
      <c r="AC21" s="493">
        <f>+AC20+AC16</f>
        <v>9.9142040816326524</v>
      </c>
      <c r="AD21" s="493">
        <f>+AD20+AD16</f>
        <v>6.8982341568206227</v>
      </c>
      <c r="AE21" s="493">
        <f>+AE20+AE16</f>
        <v>6.8982341568206227</v>
      </c>
      <c r="AF21" s="493">
        <f>+AF20+AF16</f>
        <v>9.9142040816326524</v>
      </c>
      <c r="AG21" s="493"/>
      <c r="AH21" s="493">
        <f>+AH20+AH16</f>
        <v>30.168876476906551</v>
      </c>
      <c r="AI21" s="493">
        <f>+AI20+AI16</f>
        <v>52.721430719656276</v>
      </c>
      <c r="AJ21" s="493">
        <f>+AJ20+AJ16</f>
        <v>51.428872180451123</v>
      </c>
      <c r="AK21" s="494">
        <f>+AK20+AK16</f>
        <v>37.780610096670252</v>
      </c>
      <c r="AL21" s="490">
        <f t="shared" si="0"/>
        <v>756.95523523093448</v>
      </c>
      <c r="AM21" s="305"/>
      <c r="AN21" s="305"/>
      <c r="AO21" s="305"/>
      <c r="AP21" s="491"/>
    </row>
    <row r="22" spans="1:42" x14ac:dyDescent="0.15">
      <c r="C22" s="39" t="s">
        <v>255</v>
      </c>
      <c r="K22" s="545"/>
      <c r="L22" s="10" t="s">
        <v>404</v>
      </c>
      <c r="M22" s="50" t="s">
        <v>257</v>
      </c>
      <c r="N22" s="495">
        <f>+N21/N18</f>
        <v>16.59242320085929</v>
      </c>
      <c r="O22" s="496">
        <f>+O21/O18</f>
        <v>29.809832438238452</v>
      </c>
      <c r="P22" s="496">
        <f>+P21/P18</f>
        <v>19.155133548156105</v>
      </c>
      <c r="Q22" s="496">
        <f>+Q21/Q18</f>
        <v>7.0156211958467596</v>
      </c>
      <c r="R22" s="496"/>
      <c r="S22" s="496">
        <f>+S21/S18</f>
        <v>10.345056928034371</v>
      </c>
      <c r="T22" s="496">
        <f>+T21/T18</f>
        <v>7.1854693877551021</v>
      </c>
      <c r="U22" s="496">
        <f>+U21/U18</f>
        <v>7.329087003222341</v>
      </c>
      <c r="V22" s="496">
        <f>+V21/V18</f>
        <v>10.48867454350161</v>
      </c>
      <c r="W22" s="496"/>
      <c r="X22" s="496">
        <f>+X21/X18</f>
        <v>16.089761546723953</v>
      </c>
      <c r="Y22" s="496">
        <f>+Y21/Y18</f>
        <v>16.257315431435732</v>
      </c>
      <c r="Z22" s="496">
        <f>+Z21/Z18</f>
        <v>14.797203007518796</v>
      </c>
      <c r="AA22" s="496">
        <f>+AA21/AA18</f>
        <v>18.208121374865737</v>
      </c>
      <c r="AB22" s="496"/>
      <c r="AC22" s="496">
        <f>+AC21/AC18</f>
        <v>9.9142040816326524</v>
      </c>
      <c r="AD22" s="496">
        <f>+AD21/AD18</f>
        <v>6.8982341568206227</v>
      </c>
      <c r="AE22" s="496">
        <f>+AE21/AE18</f>
        <v>6.8982341568206227</v>
      </c>
      <c r="AF22" s="496">
        <f>+AF21/AF18</f>
        <v>9.9142040816326524</v>
      </c>
      <c r="AG22" s="496"/>
      <c r="AH22" s="496">
        <f>+AH21/AH18</f>
        <v>15.084438238453275</v>
      </c>
      <c r="AI22" s="496">
        <f>+AI21/AI18</f>
        <v>17.573810239885425</v>
      </c>
      <c r="AJ22" s="496">
        <f>+AJ21/AJ18</f>
        <v>17.142957393483709</v>
      </c>
      <c r="AK22" s="497">
        <f>+AK21/AK18</f>
        <v>18.890305048335126</v>
      </c>
      <c r="AL22" s="498"/>
      <c r="AM22" s="314"/>
      <c r="AN22" s="314"/>
      <c r="AO22" s="314"/>
      <c r="AP22" s="499"/>
    </row>
    <row r="23" spans="1:42" x14ac:dyDescent="0.15">
      <c r="C23" s="39" t="s">
        <v>258</v>
      </c>
      <c r="K23" s="568" t="s">
        <v>259</v>
      </c>
      <c r="L23" s="8" t="s">
        <v>108</v>
      </c>
      <c r="M23" s="52"/>
      <c r="N23" s="301">
        <v>4</v>
      </c>
      <c r="O23" s="302">
        <v>4</v>
      </c>
      <c r="P23" s="302">
        <v>4</v>
      </c>
      <c r="Q23" s="302">
        <v>4</v>
      </c>
      <c r="R23" s="302"/>
      <c r="S23" s="302">
        <v>4</v>
      </c>
      <c r="T23" s="302">
        <v>4</v>
      </c>
      <c r="U23" s="302">
        <v>4</v>
      </c>
      <c r="V23" s="302">
        <v>4</v>
      </c>
      <c r="W23" s="302"/>
      <c r="X23" s="302">
        <v>4</v>
      </c>
      <c r="Y23" s="302">
        <v>4</v>
      </c>
      <c r="Z23" s="302">
        <v>4</v>
      </c>
      <c r="AA23" s="302">
        <v>4</v>
      </c>
      <c r="AB23" s="302"/>
      <c r="AC23" s="302">
        <v>4</v>
      </c>
      <c r="AD23" s="302">
        <v>4</v>
      </c>
      <c r="AE23" s="302">
        <v>4</v>
      </c>
      <c r="AF23" s="302">
        <v>4</v>
      </c>
      <c r="AG23" s="302"/>
      <c r="AH23" s="302">
        <v>4</v>
      </c>
      <c r="AI23" s="302">
        <v>4</v>
      </c>
      <c r="AJ23" s="302">
        <v>4</v>
      </c>
      <c r="AK23" s="303">
        <v>4</v>
      </c>
      <c r="AL23" s="500"/>
      <c r="AM23" s="302"/>
      <c r="AN23" s="302"/>
      <c r="AO23" s="302"/>
      <c r="AP23" s="501"/>
    </row>
    <row r="24" spans="1:42" x14ac:dyDescent="0.15">
      <c r="C24" s="39" t="s">
        <v>260</v>
      </c>
      <c r="E24" s="39" t="s">
        <v>261</v>
      </c>
      <c r="K24" s="549"/>
      <c r="L24" s="53" t="s">
        <v>262</v>
      </c>
      <c r="M24" s="49"/>
      <c r="N24" s="316">
        <v>1</v>
      </c>
      <c r="O24" s="317">
        <v>1</v>
      </c>
      <c r="P24" s="317">
        <v>1</v>
      </c>
      <c r="Q24" s="317">
        <v>1</v>
      </c>
      <c r="R24" s="317"/>
      <c r="S24" s="317">
        <v>1</v>
      </c>
      <c r="T24" s="317">
        <v>1</v>
      </c>
      <c r="U24" s="317">
        <v>1</v>
      </c>
      <c r="V24" s="317">
        <v>1</v>
      </c>
      <c r="W24" s="317"/>
      <c r="X24" s="317">
        <v>1</v>
      </c>
      <c r="Y24" s="317">
        <v>1</v>
      </c>
      <c r="Z24" s="317">
        <v>1</v>
      </c>
      <c r="AA24" s="317">
        <v>1</v>
      </c>
      <c r="AB24" s="317"/>
      <c r="AC24" s="317">
        <v>1</v>
      </c>
      <c r="AD24" s="317">
        <v>1</v>
      </c>
      <c r="AE24" s="317">
        <v>1</v>
      </c>
      <c r="AF24" s="317">
        <v>1</v>
      </c>
      <c r="AG24" s="317"/>
      <c r="AH24" s="317">
        <v>1</v>
      </c>
      <c r="AI24" s="317">
        <v>1</v>
      </c>
      <c r="AJ24" s="317">
        <v>1</v>
      </c>
      <c r="AK24" s="502">
        <v>1</v>
      </c>
      <c r="AL24" s="503"/>
      <c r="AM24" s="317"/>
      <c r="AN24" s="317"/>
      <c r="AO24" s="317"/>
      <c r="AP24" s="504"/>
    </row>
    <row r="25" spans="1:42" x14ac:dyDescent="0.15">
      <c r="K25" s="549"/>
      <c r="L25" s="9" t="s">
        <v>263</v>
      </c>
      <c r="M25" s="46" t="s">
        <v>31</v>
      </c>
      <c r="N25" s="304">
        <f>7*N24*100</f>
        <v>700</v>
      </c>
      <c r="O25" s="305">
        <f>7*O24*100</f>
        <v>700</v>
      </c>
      <c r="P25" s="305">
        <f>7*P24*100</f>
        <v>700</v>
      </c>
      <c r="Q25" s="305">
        <f>7*Q24*100</f>
        <v>700</v>
      </c>
      <c r="R25" s="305"/>
      <c r="S25" s="305">
        <f>7*S24*100</f>
        <v>700</v>
      </c>
      <c r="T25" s="305">
        <f>7*T24*100</f>
        <v>700</v>
      </c>
      <c r="U25" s="305">
        <f>7*U24*100</f>
        <v>700</v>
      </c>
      <c r="V25" s="305">
        <f>7*V24*100</f>
        <v>700</v>
      </c>
      <c r="W25" s="305"/>
      <c r="X25" s="305">
        <f>7*X24*100</f>
        <v>700</v>
      </c>
      <c r="Y25" s="305">
        <f>7*Y24*100</f>
        <v>700</v>
      </c>
      <c r="Z25" s="305">
        <f>7*Z24*100</f>
        <v>700</v>
      </c>
      <c r="AA25" s="305">
        <f>7*AA24*100</f>
        <v>700</v>
      </c>
      <c r="AB25" s="305"/>
      <c r="AC25" s="305">
        <f>7*AC24*100</f>
        <v>700</v>
      </c>
      <c r="AD25" s="305">
        <f>7*AD24*100</f>
        <v>700</v>
      </c>
      <c r="AE25" s="305">
        <f>7*AE24*100</f>
        <v>700</v>
      </c>
      <c r="AF25" s="305">
        <f>7*AF24*100</f>
        <v>700</v>
      </c>
      <c r="AG25" s="305"/>
      <c r="AH25" s="305">
        <f>7*AH24*100</f>
        <v>700</v>
      </c>
      <c r="AI25" s="305">
        <f>7*AI24*100</f>
        <v>700</v>
      </c>
      <c r="AJ25" s="305">
        <f>7*AJ24*100</f>
        <v>700</v>
      </c>
      <c r="AK25" s="306">
        <f>7*AK24*100</f>
        <v>700</v>
      </c>
      <c r="AL25" s="490"/>
      <c r="AM25" s="305"/>
      <c r="AN25" s="305"/>
      <c r="AO25" s="305"/>
      <c r="AP25" s="491"/>
    </row>
    <row r="26" spans="1:42" x14ac:dyDescent="0.15">
      <c r="A26" s="39" t="s">
        <v>264</v>
      </c>
      <c r="K26" s="549"/>
      <c r="L26" s="9" t="s">
        <v>265</v>
      </c>
      <c r="M26" s="46" t="s">
        <v>20</v>
      </c>
      <c r="N26" s="304">
        <f>鉛直!O8</f>
        <v>1</v>
      </c>
      <c r="O26" s="305">
        <f>鉛直!P8</f>
        <v>1</v>
      </c>
      <c r="P26" s="305">
        <f>鉛直!Q8</f>
        <v>1</v>
      </c>
      <c r="Q26" s="305">
        <f>鉛直!R8</f>
        <v>1</v>
      </c>
      <c r="R26" s="305"/>
      <c r="S26" s="305">
        <v>1</v>
      </c>
      <c r="T26" s="305">
        <v>1</v>
      </c>
      <c r="U26" s="305">
        <v>1</v>
      </c>
      <c r="V26" s="305">
        <v>1</v>
      </c>
      <c r="W26" s="305"/>
      <c r="X26" s="305">
        <v>1</v>
      </c>
      <c r="Y26" s="305">
        <v>1</v>
      </c>
      <c r="Z26" s="305">
        <v>1</v>
      </c>
      <c r="AA26" s="305">
        <v>1</v>
      </c>
      <c r="AB26" s="305"/>
      <c r="AC26" s="305">
        <v>1</v>
      </c>
      <c r="AD26" s="305">
        <v>1</v>
      </c>
      <c r="AE26" s="305">
        <v>1</v>
      </c>
      <c r="AF26" s="305">
        <v>1</v>
      </c>
      <c r="AG26" s="305"/>
      <c r="AH26" s="305">
        <v>1</v>
      </c>
      <c r="AI26" s="305">
        <v>1</v>
      </c>
      <c r="AJ26" s="305">
        <v>1</v>
      </c>
      <c r="AK26" s="306">
        <v>1</v>
      </c>
      <c r="AL26" s="490"/>
      <c r="AM26" s="305"/>
      <c r="AN26" s="305"/>
      <c r="AO26" s="305"/>
      <c r="AP26" s="491"/>
    </row>
    <row r="27" spans="1:42" x14ac:dyDescent="0.15">
      <c r="B27" s="27" t="s">
        <v>266</v>
      </c>
      <c r="K27" s="545"/>
      <c r="L27" s="10" t="s">
        <v>267</v>
      </c>
      <c r="M27" s="51"/>
      <c r="N27" s="313">
        <f>ROUNDDOWN((1/30)*N23*N25*(N26*100/30)^(-3/4)*10^2,3)</f>
        <v>3783.36</v>
      </c>
      <c r="O27" s="314">
        <f>ROUNDDOWN((1/30)*O23*O25*(O26*100/30)^(-3/4)*10^2,3)</f>
        <v>3783.36</v>
      </c>
      <c r="P27" s="314">
        <f>ROUNDDOWN((1/30)*P23*P25*(P26*100/30)^(-3/4)*10^2,3)</f>
        <v>3783.36</v>
      </c>
      <c r="Q27" s="314">
        <f>ROUNDDOWN((1/30)*Q23*Q25*(Q26*100/30)^(-3/4)*10^2,3)</f>
        <v>3783.36</v>
      </c>
      <c r="R27" s="314"/>
      <c r="S27" s="314">
        <f>ROUNDDOWN((1/30)*S23*S25*(S26*100/30)^(-3/4)*10^2,3)</f>
        <v>3783.36</v>
      </c>
      <c r="T27" s="314">
        <f>ROUNDDOWN((1/30)*T23*T25*(T26*100/30)^(-3/4)*10^2,3)</f>
        <v>3783.36</v>
      </c>
      <c r="U27" s="314">
        <f>ROUNDDOWN((1/30)*U23*U25*(U26*100/30)^(-3/4)*10^2,3)</f>
        <v>3783.36</v>
      </c>
      <c r="V27" s="314">
        <f>ROUNDDOWN((1/30)*V23*V25*(V26*100/30)^(-3/4)*10^2,3)</f>
        <v>3783.36</v>
      </c>
      <c r="W27" s="314"/>
      <c r="X27" s="314">
        <f>ROUNDDOWN((1/30)*X23*X25*(X26*100/30)^(-3/4)*10^2,3)</f>
        <v>3783.36</v>
      </c>
      <c r="Y27" s="314">
        <f>ROUNDDOWN((1/30)*Y23*Y25*(Y26*100/30)^(-3/4)*10^2,3)</f>
        <v>3783.36</v>
      </c>
      <c r="Z27" s="314">
        <f>ROUNDDOWN((1/30)*Z23*Z25*(Z26*100/30)^(-3/4)*10^2,3)</f>
        <v>3783.36</v>
      </c>
      <c r="AA27" s="314">
        <f>ROUNDDOWN((1/30)*AA23*AA25*(AA26*100/30)^(-3/4)*10^2,3)</f>
        <v>3783.36</v>
      </c>
      <c r="AB27" s="314"/>
      <c r="AC27" s="314">
        <f>ROUNDDOWN((1/30)*AC23*AC25*(AC26*100/30)^(-3/4)*10^2,3)</f>
        <v>3783.36</v>
      </c>
      <c r="AD27" s="314">
        <f>ROUNDDOWN((1/30)*AD23*AD25*(AD26*100/30)^(-3/4)*10^2,3)</f>
        <v>3783.36</v>
      </c>
      <c r="AE27" s="314">
        <f>ROUNDDOWN((1/30)*AE23*AE25*(AE26*100/30)^(-3/4)*10^2,3)</f>
        <v>3783.36</v>
      </c>
      <c r="AF27" s="314">
        <f>ROUNDDOWN((1/30)*AF23*AF25*(AF26*100/30)^(-3/4)*10^2,3)</f>
        <v>3783.36</v>
      </c>
      <c r="AG27" s="314"/>
      <c r="AH27" s="314">
        <f>ROUNDDOWN((1/30)*AH23*AH25*(AH26*100/30)^(-3/4)*10^2,3)</f>
        <v>3783.36</v>
      </c>
      <c r="AI27" s="314">
        <f>ROUNDDOWN((1/30)*AI23*AI25*(AI26*100/30)^(-3/4)*10^2,3)</f>
        <v>3783.36</v>
      </c>
      <c r="AJ27" s="314">
        <f>ROUNDDOWN((1/30)*AJ23*AJ25*(AJ26*100/30)^(-3/4)*10^2,3)</f>
        <v>3783.36</v>
      </c>
      <c r="AK27" s="315">
        <f>ROUNDDOWN((1/30)*AK23*AK25*(AK26*100/30)^(-3/4)*10^2,3)</f>
        <v>3783.36</v>
      </c>
      <c r="AL27" s="498"/>
      <c r="AM27" s="314"/>
      <c r="AN27" s="314"/>
      <c r="AO27" s="314"/>
      <c r="AP27" s="499"/>
    </row>
    <row r="28" spans="1:42" x14ac:dyDescent="0.15">
      <c r="B28" s="39" t="s">
        <v>268</v>
      </c>
      <c r="K28" s="568" t="s">
        <v>269</v>
      </c>
      <c r="L28" s="8" t="s">
        <v>19</v>
      </c>
      <c r="M28" s="45" t="s">
        <v>20</v>
      </c>
      <c r="N28" s="318">
        <v>1</v>
      </c>
      <c r="O28" s="319">
        <v>1</v>
      </c>
      <c r="P28" s="319">
        <v>1</v>
      </c>
      <c r="Q28" s="319">
        <v>1</v>
      </c>
      <c r="R28" s="319"/>
      <c r="S28" s="319">
        <v>1</v>
      </c>
      <c r="T28" s="319">
        <v>1</v>
      </c>
      <c r="U28" s="319">
        <v>1</v>
      </c>
      <c r="V28" s="319">
        <v>1</v>
      </c>
      <c r="W28" s="319"/>
      <c r="X28" s="319">
        <v>1</v>
      </c>
      <c r="Y28" s="319">
        <v>1</v>
      </c>
      <c r="Z28" s="319">
        <v>1</v>
      </c>
      <c r="AA28" s="319">
        <v>1</v>
      </c>
      <c r="AB28" s="319"/>
      <c r="AC28" s="319">
        <v>1</v>
      </c>
      <c r="AD28" s="319">
        <v>1</v>
      </c>
      <c r="AE28" s="319">
        <v>1</v>
      </c>
      <c r="AF28" s="319">
        <v>1</v>
      </c>
      <c r="AG28" s="319"/>
      <c r="AH28" s="319">
        <v>1</v>
      </c>
      <c r="AI28" s="319">
        <v>1</v>
      </c>
      <c r="AJ28" s="319">
        <v>1</v>
      </c>
      <c r="AK28" s="320">
        <v>1</v>
      </c>
      <c r="AL28" s="505"/>
      <c r="AM28" s="319"/>
      <c r="AN28" s="319"/>
      <c r="AO28" s="319"/>
      <c r="AP28" s="506"/>
    </row>
    <row r="29" spans="1:42" x14ac:dyDescent="0.15">
      <c r="C29" s="39" t="s">
        <v>270</v>
      </c>
      <c r="D29" s="39" t="s">
        <v>271</v>
      </c>
      <c r="K29" s="549"/>
      <c r="L29" s="9" t="s">
        <v>265</v>
      </c>
      <c r="M29" s="46" t="s">
        <v>20</v>
      </c>
      <c r="N29" s="310">
        <v>1</v>
      </c>
      <c r="O29" s="311">
        <v>1</v>
      </c>
      <c r="P29" s="311">
        <v>1</v>
      </c>
      <c r="Q29" s="311">
        <v>1</v>
      </c>
      <c r="R29" s="311"/>
      <c r="S29" s="311">
        <v>1</v>
      </c>
      <c r="T29" s="311">
        <v>1</v>
      </c>
      <c r="U29" s="311">
        <v>1</v>
      </c>
      <c r="V29" s="311">
        <v>1</v>
      </c>
      <c r="W29" s="311"/>
      <c r="X29" s="311">
        <v>1</v>
      </c>
      <c r="Y29" s="311">
        <v>1</v>
      </c>
      <c r="Z29" s="311">
        <v>1</v>
      </c>
      <c r="AA29" s="311">
        <v>1</v>
      </c>
      <c r="AB29" s="311"/>
      <c r="AC29" s="311">
        <v>1</v>
      </c>
      <c r="AD29" s="311">
        <v>1</v>
      </c>
      <c r="AE29" s="311">
        <v>1</v>
      </c>
      <c r="AF29" s="311">
        <v>1</v>
      </c>
      <c r="AG29" s="311"/>
      <c r="AH29" s="311">
        <v>1</v>
      </c>
      <c r="AI29" s="311">
        <v>1</v>
      </c>
      <c r="AJ29" s="311">
        <v>1</v>
      </c>
      <c r="AK29" s="312">
        <v>1</v>
      </c>
      <c r="AL29" s="507"/>
      <c r="AM29" s="311"/>
      <c r="AN29" s="311"/>
      <c r="AO29" s="311"/>
      <c r="AP29" s="508"/>
    </row>
    <row r="30" spans="1:42" x14ac:dyDescent="0.15">
      <c r="B30" s="39" t="s">
        <v>272</v>
      </c>
      <c r="K30" s="549"/>
      <c r="L30" s="9" t="s">
        <v>273</v>
      </c>
      <c r="M30" s="49"/>
      <c r="N30" s="304">
        <f>N28/N29</f>
        <v>1</v>
      </c>
      <c r="O30" s="305">
        <f>O28/O29</f>
        <v>1</v>
      </c>
      <c r="P30" s="305">
        <f>P28/P29</f>
        <v>1</v>
      </c>
      <c r="Q30" s="305">
        <f>Q28/Q29</f>
        <v>1</v>
      </c>
      <c r="R30" s="305"/>
      <c r="S30" s="305">
        <f>S28/S29</f>
        <v>1</v>
      </c>
      <c r="T30" s="305">
        <f>T28/T29</f>
        <v>1</v>
      </c>
      <c r="U30" s="305">
        <f>U28/U29</f>
        <v>1</v>
      </c>
      <c r="V30" s="305">
        <f>V28/V29</f>
        <v>1</v>
      </c>
      <c r="W30" s="305"/>
      <c r="X30" s="305">
        <f>X28/X29</f>
        <v>1</v>
      </c>
      <c r="Y30" s="305">
        <f>Y28/Y29</f>
        <v>1</v>
      </c>
      <c r="Z30" s="305">
        <f>Z28/Z29</f>
        <v>1</v>
      </c>
      <c r="AA30" s="305">
        <f>AA28/AA29</f>
        <v>1</v>
      </c>
      <c r="AB30" s="305"/>
      <c r="AC30" s="305">
        <f>AC28/AC29</f>
        <v>1</v>
      </c>
      <c r="AD30" s="305">
        <f>AD28/AD29</f>
        <v>1</v>
      </c>
      <c r="AE30" s="305">
        <f>AE28/AE29</f>
        <v>1</v>
      </c>
      <c r="AF30" s="305">
        <f>AF28/AF29</f>
        <v>1</v>
      </c>
      <c r="AG30" s="305"/>
      <c r="AH30" s="305">
        <f>AH28/AH29</f>
        <v>1</v>
      </c>
      <c r="AI30" s="305">
        <f>AI28/AI29</f>
        <v>1</v>
      </c>
      <c r="AJ30" s="305">
        <f>AJ28/AJ29</f>
        <v>1</v>
      </c>
      <c r="AK30" s="306">
        <f>AK28/AK29</f>
        <v>1</v>
      </c>
      <c r="AL30" s="490"/>
      <c r="AM30" s="305"/>
      <c r="AN30" s="305"/>
      <c r="AO30" s="305"/>
      <c r="AP30" s="491"/>
    </row>
    <row r="31" spans="1:42" x14ac:dyDescent="0.15">
      <c r="C31" s="39" t="s">
        <v>274</v>
      </c>
      <c r="K31" s="549"/>
      <c r="L31" s="9" t="s">
        <v>275</v>
      </c>
      <c r="M31" s="49"/>
      <c r="N31" s="304">
        <f>ROUNDDOWN((1-0.2*(3-N30)),1)</f>
        <v>0.6</v>
      </c>
      <c r="O31" s="305">
        <f>ROUNDDOWN((1-0.2*(3-O30)),1)</f>
        <v>0.6</v>
      </c>
      <c r="P31" s="305">
        <f>ROUNDDOWN((1-0.2*(3-P30)),1)</f>
        <v>0.6</v>
      </c>
      <c r="Q31" s="305">
        <f>ROUNDDOWN((1-0.2*(3-Q30)),1)</f>
        <v>0.6</v>
      </c>
      <c r="R31" s="305"/>
      <c r="S31" s="305">
        <f>ROUNDDOWN((1-0.2*(3-S30)),1)</f>
        <v>0.6</v>
      </c>
      <c r="T31" s="305">
        <f>ROUNDDOWN((1-0.2*(3-T30)),1)</f>
        <v>0.6</v>
      </c>
      <c r="U31" s="305">
        <f>ROUNDDOWN((1-0.2*(3-U30)),1)</f>
        <v>0.6</v>
      </c>
      <c r="V31" s="305">
        <f>ROUNDDOWN((1-0.2*(3-V30)),1)</f>
        <v>0.6</v>
      </c>
      <c r="W31" s="305"/>
      <c r="X31" s="305">
        <f>ROUNDDOWN((1-0.2*(3-X30)),1)</f>
        <v>0.6</v>
      </c>
      <c r="Y31" s="305">
        <f>ROUNDDOWN((1-0.2*(3-Y30)),1)</f>
        <v>0.6</v>
      </c>
      <c r="Z31" s="305">
        <f>ROUNDDOWN((1-0.2*(3-Z30)),1)</f>
        <v>0.6</v>
      </c>
      <c r="AA31" s="305">
        <f>ROUNDDOWN((1-0.2*(3-AA30)),1)</f>
        <v>0.6</v>
      </c>
      <c r="AB31" s="305"/>
      <c r="AC31" s="305">
        <f>ROUNDDOWN((1-0.2*(3-AC30)),1)</f>
        <v>0.6</v>
      </c>
      <c r="AD31" s="305">
        <f>ROUNDDOWN((1-0.2*(3-AD30)),1)</f>
        <v>0.6</v>
      </c>
      <c r="AE31" s="305">
        <f>ROUNDDOWN((1-0.2*(3-AE30)),1)</f>
        <v>0.6</v>
      </c>
      <c r="AF31" s="305">
        <f>ROUNDDOWN((1-0.2*(3-AF30)),1)</f>
        <v>0.6</v>
      </c>
      <c r="AG31" s="305"/>
      <c r="AH31" s="305">
        <f>ROUNDDOWN((1-0.2*(3-AH30)),1)</f>
        <v>0.6</v>
      </c>
      <c r="AI31" s="305">
        <f>ROUNDDOWN((1-0.2*(3-AI30)),1)</f>
        <v>0.6</v>
      </c>
      <c r="AJ31" s="305">
        <f>ROUNDDOWN((1-0.2*(3-AJ30)),1)</f>
        <v>0.6</v>
      </c>
      <c r="AK31" s="306">
        <f>ROUNDDOWN((1-0.2*(3-AK30)),1)</f>
        <v>0.6</v>
      </c>
      <c r="AL31" s="490"/>
      <c r="AM31" s="305"/>
      <c r="AN31" s="305"/>
      <c r="AO31" s="305"/>
      <c r="AP31" s="491"/>
    </row>
    <row r="32" spans="1:42" x14ac:dyDescent="0.15">
      <c r="C32" s="39" t="s">
        <v>255</v>
      </c>
      <c r="K32" s="549"/>
      <c r="L32" s="9" t="s">
        <v>239</v>
      </c>
      <c r="M32" s="46" t="s">
        <v>20</v>
      </c>
      <c r="N32" s="304">
        <f>N10</f>
        <v>1</v>
      </c>
      <c r="O32" s="305">
        <f>O10</f>
        <v>2</v>
      </c>
      <c r="P32" s="305">
        <f>P10</f>
        <v>2</v>
      </c>
      <c r="Q32" s="305">
        <f>Q10</f>
        <v>1</v>
      </c>
      <c r="R32" s="305"/>
      <c r="S32" s="305">
        <f>S10</f>
        <v>1</v>
      </c>
      <c r="T32" s="305">
        <f>T10</f>
        <v>1</v>
      </c>
      <c r="U32" s="305">
        <f>U10</f>
        <v>1</v>
      </c>
      <c r="V32" s="305">
        <f>V10</f>
        <v>1</v>
      </c>
      <c r="W32" s="305"/>
      <c r="X32" s="305">
        <f>X10</f>
        <v>2</v>
      </c>
      <c r="Y32" s="305">
        <f>Y10</f>
        <v>2</v>
      </c>
      <c r="Z32" s="305">
        <f>Z10</f>
        <v>2</v>
      </c>
      <c r="AA32" s="305">
        <f>AA10</f>
        <v>2</v>
      </c>
      <c r="AB32" s="305"/>
      <c r="AC32" s="305">
        <f>AC10</f>
        <v>1</v>
      </c>
      <c r="AD32" s="305">
        <f>AD10</f>
        <v>1</v>
      </c>
      <c r="AE32" s="305">
        <f>AE10</f>
        <v>1</v>
      </c>
      <c r="AF32" s="305">
        <f>AF10</f>
        <v>1</v>
      </c>
      <c r="AG32" s="305"/>
      <c r="AH32" s="305">
        <f>AH10</f>
        <v>1</v>
      </c>
      <c r="AI32" s="305">
        <f>AI10</f>
        <v>1</v>
      </c>
      <c r="AJ32" s="305">
        <f>AJ10</f>
        <v>1</v>
      </c>
      <c r="AK32" s="306">
        <f>AK10</f>
        <v>1</v>
      </c>
      <c r="AL32" s="490"/>
      <c r="AM32" s="305"/>
      <c r="AN32" s="305"/>
      <c r="AO32" s="305"/>
      <c r="AP32" s="491"/>
    </row>
    <row r="33" spans="1:42" x14ac:dyDescent="0.15">
      <c r="C33" s="39" t="s">
        <v>258</v>
      </c>
      <c r="K33" s="549"/>
      <c r="L33" s="9" t="s">
        <v>276</v>
      </c>
      <c r="M33" s="49"/>
      <c r="N33" s="321">
        <f>ROUNDDOWN((1/30)*N23*N25*(N32*100/30)^(-3/4)*10^2,2)</f>
        <v>3783.36</v>
      </c>
      <c r="O33" s="322">
        <f>ROUNDDOWN((1/30)*O23*O25*(O32*100/30)^(-3/4)*10^2,2)</f>
        <v>2249.59</v>
      </c>
      <c r="P33" s="322">
        <f>ROUNDDOWN((1/30)*P23*P25*(P32*100/30)^(-3/4)*10^2,2)</f>
        <v>2249.59</v>
      </c>
      <c r="Q33" s="322">
        <f>ROUNDDOWN((1/30)*Q23*Q25*(Q32*100/30)^(-3/4)*10^2,2)</f>
        <v>3783.36</v>
      </c>
      <c r="R33" s="322"/>
      <c r="S33" s="322">
        <f>ROUNDDOWN((1/30)*S23*S25*(S32*100/30)^(-3/4)*10^2,2)</f>
        <v>3783.36</v>
      </c>
      <c r="T33" s="322">
        <f>ROUNDDOWN((1/30)*T23*T25*(T32*100/30)^(-3/4)*10^2,2)</f>
        <v>3783.36</v>
      </c>
      <c r="U33" s="322">
        <f>ROUNDDOWN((1/30)*U23*U25*(U32*100/30)^(-3/4)*10^2,2)</f>
        <v>3783.36</v>
      </c>
      <c r="V33" s="322">
        <f>ROUNDDOWN((1/30)*V23*V25*(V32*100/30)^(-3/4)*10^2,2)</f>
        <v>3783.36</v>
      </c>
      <c r="W33" s="322"/>
      <c r="X33" s="322">
        <f>ROUNDDOWN((1/30)*X23*X25*(X32*100/30)^(-3/4)*10^2,2)</f>
        <v>2249.59</v>
      </c>
      <c r="Y33" s="322">
        <f>ROUNDDOWN((1/30)*Y23*Y25*(Y32*100/30)^(-3/4)*10^2,2)</f>
        <v>2249.59</v>
      </c>
      <c r="Z33" s="322">
        <f>ROUNDDOWN((1/30)*Z23*Z25*(Z32*100/30)^(-3/4)*10^2,2)</f>
        <v>2249.59</v>
      </c>
      <c r="AA33" s="322">
        <f>ROUNDDOWN((1/30)*AA23*AA25*(AA32*100/30)^(-3/4)*10^2,2)</f>
        <v>2249.59</v>
      </c>
      <c r="AB33" s="322"/>
      <c r="AC33" s="322">
        <f>ROUNDDOWN((1/30)*AC23*AC25*(AC32*100/30)^(-3/4)*10^2,2)</f>
        <v>3783.36</v>
      </c>
      <c r="AD33" s="322">
        <f>ROUNDDOWN((1/30)*AD23*AD25*(AD32*100/30)^(-3/4)*10^2,2)</f>
        <v>3783.36</v>
      </c>
      <c r="AE33" s="322">
        <f>ROUNDDOWN((1/30)*AE23*AE25*(AE32*100/30)^(-3/4)*10^2,2)</f>
        <v>3783.36</v>
      </c>
      <c r="AF33" s="322">
        <f>ROUNDDOWN((1/30)*AF23*AF25*(AF32*100/30)^(-3/4)*10^2,2)</f>
        <v>3783.36</v>
      </c>
      <c r="AG33" s="322"/>
      <c r="AH33" s="322">
        <f>ROUNDDOWN((1/30)*AH23*AH25*(AH32*100/30)^(-3/4)*10^2,2)</f>
        <v>3783.36</v>
      </c>
      <c r="AI33" s="322">
        <f>ROUNDDOWN((1/30)*AI23*AI25*(AI32*100/30)^(-3/4)*10^2,2)</f>
        <v>3783.36</v>
      </c>
      <c r="AJ33" s="322">
        <f>ROUNDDOWN((1/30)*AJ23*AJ25*(AJ32*100/30)^(-3/4)*10^2,2)</f>
        <v>3783.36</v>
      </c>
      <c r="AK33" s="323">
        <f>ROUNDDOWN((1/30)*AK23*AK25*(AK32*100/30)^(-3/4)*10^2,2)</f>
        <v>3783.36</v>
      </c>
      <c r="AL33" s="509"/>
      <c r="AM33" s="322"/>
      <c r="AN33" s="322"/>
      <c r="AO33" s="322"/>
      <c r="AP33" s="510"/>
    </row>
    <row r="34" spans="1:42" x14ac:dyDescent="0.15">
      <c r="C34" s="39" t="s">
        <v>277</v>
      </c>
      <c r="D34" s="39" t="s">
        <v>278</v>
      </c>
      <c r="K34" s="549"/>
      <c r="L34" s="9" t="s">
        <v>279</v>
      </c>
      <c r="M34" s="49"/>
      <c r="N34" s="321">
        <f>ROUNDDOWN(N33/N27,2)</f>
        <v>1</v>
      </c>
      <c r="O34" s="322">
        <f>ROUNDDOWN(O33/O27,2)</f>
        <v>0.59</v>
      </c>
      <c r="P34" s="322">
        <f>ROUNDDOWN(P33/P27,2)</f>
        <v>0.59</v>
      </c>
      <c r="Q34" s="322">
        <f>ROUNDDOWN(Q33/Q27,2)</f>
        <v>1</v>
      </c>
      <c r="R34" s="322"/>
      <c r="S34" s="322">
        <f>ROUNDDOWN(S33/S27,2)</f>
        <v>1</v>
      </c>
      <c r="T34" s="322">
        <f>ROUNDDOWN(T33/T27,2)</f>
        <v>1</v>
      </c>
      <c r="U34" s="322">
        <f>ROUNDDOWN(U33/U27,2)</f>
        <v>1</v>
      </c>
      <c r="V34" s="322">
        <f>ROUNDDOWN(V33/V27,2)</f>
        <v>1</v>
      </c>
      <c r="W34" s="322"/>
      <c r="X34" s="322">
        <f>ROUNDDOWN(X33/X27,2)</f>
        <v>0.59</v>
      </c>
      <c r="Y34" s="322">
        <f>ROUNDDOWN(Y33/Y27,2)</f>
        <v>0.59</v>
      </c>
      <c r="Z34" s="322">
        <f>ROUNDDOWN(Z33/Z27,2)</f>
        <v>0.59</v>
      </c>
      <c r="AA34" s="322">
        <f>ROUNDDOWN(AA33/AA27,2)</f>
        <v>0.59</v>
      </c>
      <c r="AB34" s="322"/>
      <c r="AC34" s="322">
        <f>ROUNDDOWN(AC33/AC27,2)</f>
        <v>1</v>
      </c>
      <c r="AD34" s="322">
        <f>ROUNDDOWN(AD33/AD27,2)</f>
        <v>1</v>
      </c>
      <c r="AE34" s="322">
        <f>ROUNDDOWN(AE33/AE27,2)</f>
        <v>1</v>
      </c>
      <c r="AF34" s="322">
        <f>ROUNDDOWN(AF33/AF27,2)</f>
        <v>1</v>
      </c>
      <c r="AG34" s="322"/>
      <c r="AH34" s="322">
        <f>ROUNDDOWN(AH33/AH27,2)</f>
        <v>1</v>
      </c>
      <c r="AI34" s="322">
        <f>ROUNDDOWN(AI33/AI27,2)</f>
        <v>1</v>
      </c>
      <c r="AJ34" s="322">
        <f>ROUNDDOWN(AJ33/AJ27,2)</f>
        <v>1</v>
      </c>
      <c r="AK34" s="323">
        <f>ROUNDDOWN(AK33/AK27,2)</f>
        <v>1</v>
      </c>
      <c r="AL34" s="509"/>
      <c r="AM34" s="322"/>
      <c r="AN34" s="322"/>
      <c r="AO34" s="322"/>
      <c r="AP34" s="510"/>
    </row>
    <row r="35" spans="1:42" x14ac:dyDescent="0.15">
      <c r="B35" s="39" t="s">
        <v>280</v>
      </c>
      <c r="K35" s="549"/>
      <c r="L35" s="9" t="s">
        <v>281</v>
      </c>
      <c r="M35" s="49"/>
      <c r="N35" s="304">
        <f>MAX(N31,N34)</f>
        <v>1</v>
      </c>
      <c r="O35" s="305">
        <f>MAX(O31,O34)</f>
        <v>0.6</v>
      </c>
      <c r="P35" s="305">
        <f>MAX(P31,P34)</f>
        <v>0.6</v>
      </c>
      <c r="Q35" s="305">
        <f>MAX(Q31,Q34)</f>
        <v>1</v>
      </c>
      <c r="R35" s="305"/>
      <c r="S35" s="305">
        <f>MAX(S31,S34)</f>
        <v>1</v>
      </c>
      <c r="T35" s="305">
        <f>MAX(T31,T34)</f>
        <v>1</v>
      </c>
      <c r="U35" s="305">
        <f>MAX(U31,U34)</f>
        <v>1</v>
      </c>
      <c r="V35" s="305">
        <f>MAX(V31,V34)</f>
        <v>1</v>
      </c>
      <c r="W35" s="305"/>
      <c r="X35" s="305">
        <f>MAX(X31,X34)</f>
        <v>0.6</v>
      </c>
      <c r="Y35" s="305">
        <f>MAX(Y31,Y34)</f>
        <v>0.6</v>
      </c>
      <c r="Z35" s="305">
        <f>MAX(Z31,Z34)</f>
        <v>0.6</v>
      </c>
      <c r="AA35" s="305">
        <f>MAX(AA31,AA34)</f>
        <v>0.6</v>
      </c>
      <c r="AB35" s="305"/>
      <c r="AC35" s="305">
        <f>MAX(AC31,AC34)</f>
        <v>1</v>
      </c>
      <c r="AD35" s="305">
        <f>MAX(AD31,AD34)</f>
        <v>1</v>
      </c>
      <c r="AE35" s="305">
        <f>MAX(AE31,AE34)</f>
        <v>1</v>
      </c>
      <c r="AF35" s="305">
        <f>MAX(AF31,AF34)</f>
        <v>1</v>
      </c>
      <c r="AG35" s="305"/>
      <c r="AH35" s="305">
        <f>MAX(AH31,AH34)</f>
        <v>1</v>
      </c>
      <c r="AI35" s="305">
        <f>MAX(AI31,AI34)</f>
        <v>1</v>
      </c>
      <c r="AJ35" s="305">
        <f>MAX(AJ31,AJ34)</f>
        <v>1</v>
      </c>
      <c r="AK35" s="306">
        <f>MAX(AK31,AK34)</f>
        <v>1</v>
      </c>
      <c r="AL35" s="490"/>
      <c r="AM35" s="305"/>
      <c r="AN35" s="305"/>
      <c r="AO35" s="305"/>
      <c r="AP35" s="491"/>
    </row>
    <row r="36" spans="1:42" x14ac:dyDescent="0.15">
      <c r="K36" s="549"/>
      <c r="L36" s="9" t="s">
        <v>282</v>
      </c>
      <c r="M36" s="49"/>
      <c r="N36" s="304">
        <f>(1-0.3*(3-N30))</f>
        <v>0.4</v>
      </c>
      <c r="O36" s="305">
        <f>(1-0.3*(3-O30))</f>
        <v>0.4</v>
      </c>
      <c r="P36" s="305">
        <f>(1-0.3*(3-P30))</f>
        <v>0.4</v>
      </c>
      <c r="Q36" s="305">
        <f>(1-0.3*(3-Q30))</f>
        <v>0.4</v>
      </c>
      <c r="R36" s="305"/>
      <c r="S36" s="305">
        <f>(1-0.3*(3-S30))</f>
        <v>0.4</v>
      </c>
      <c r="T36" s="305">
        <f>(1-0.3*(3-T30))</f>
        <v>0.4</v>
      </c>
      <c r="U36" s="305">
        <f>(1-0.3*(3-U30))</f>
        <v>0.4</v>
      </c>
      <c r="V36" s="305">
        <f>(1-0.3*(3-V30))</f>
        <v>0.4</v>
      </c>
      <c r="W36" s="305"/>
      <c r="X36" s="305">
        <f>(1-0.3*(3-X30))</f>
        <v>0.4</v>
      </c>
      <c r="Y36" s="305">
        <f>(1-0.3*(3-Y30))</f>
        <v>0.4</v>
      </c>
      <c r="Z36" s="305">
        <f>(1-0.3*(3-Z30))</f>
        <v>0.4</v>
      </c>
      <c r="AA36" s="305">
        <f>(1-0.3*(3-AA30))</f>
        <v>0.4</v>
      </c>
      <c r="AB36" s="305"/>
      <c r="AC36" s="305">
        <f>(1-0.3*(3-AC30))</f>
        <v>0.4</v>
      </c>
      <c r="AD36" s="305">
        <f>(1-0.3*(3-AD30))</f>
        <v>0.4</v>
      </c>
      <c r="AE36" s="305">
        <f>(1-0.3*(3-AE30))</f>
        <v>0.4</v>
      </c>
      <c r="AF36" s="305">
        <f>(1-0.3*(3-AF30))</f>
        <v>0.4</v>
      </c>
      <c r="AG36" s="305"/>
      <c r="AH36" s="305">
        <f>(1-0.3*(3-AH30))</f>
        <v>0.4</v>
      </c>
      <c r="AI36" s="305">
        <f>(1-0.3*(3-AI30))</f>
        <v>0.4</v>
      </c>
      <c r="AJ36" s="305">
        <f>(1-0.3*(3-AJ30))</f>
        <v>0.4</v>
      </c>
      <c r="AK36" s="306">
        <f>(1-0.3*(3-AK30))</f>
        <v>0.4</v>
      </c>
      <c r="AL36" s="490"/>
      <c r="AM36" s="305"/>
      <c r="AN36" s="305"/>
      <c r="AO36" s="305"/>
      <c r="AP36" s="491"/>
    </row>
    <row r="37" spans="1:42" x14ac:dyDescent="0.15">
      <c r="B37" s="27" t="s">
        <v>283</v>
      </c>
      <c r="K37" s="549"/>
      <c r="L37" s="9" t="s">
        <v>284</v>
      </c>
      <c r="M37" s="49"/>
      <c r="N37" s="304">
        <f>N35*N36</f>
        <v>0.4</v>
      </c>
      <c r="O37" s="305">
        <f>O35*O36</f>
        <v>0.24</v>
      </c>
      <c r="P37" s="305">
        <f>P35*P36</f>
        <v>0.24</v>
      </c>
      <c r="Q37" s="305">
        <f>Q35*Q36</f>
        <v>0.4</v>
      </c>
      <c r="R37" s="305"/>
      <c r="S37" s="305">
        <f>S35*S36</f>
        <v>0.4</v>
      </c>
      <c r="T37" s="305">
        <f>T35*T36</f>
        <v>0.4</v>
      </c>
      <c r="U37" s="305">
        <f>U35*U36</f>
        <v>0.4</v>
      </c>
      <c r="V37" s="305">
        <f>V35*V36</f>
        <v>0.4</v>
      </c>
      <c r="W37" s="305"/>
      <c r="X37" s="305">
        <f>X35*X36</f>
        <v>0.24</v>
      </c>
      <c r="Y37" s="305">
        <f>Y35*Y36</f>
        <v>0.24</v>
      </c>
      <c r="Z37" s="305">
        <f>Z35*Z36</f>
        <v>0.24</v>
      </c>
      <c r="AA37" s="305">
        <f>AA35*AA36</f>
        <v>0.24</v>
      </c>
      <c r="AB37" s="305"/>
      <c r="AC37" s="305">
        <f>AC35*AC36</f>
        <v>0.4</v>
      </c>
      <c r="AD37" s="305">
        <f>AD35*AD36</f>
        <v>0.4</v>
      </c>
      <c r="AE37" s="305">
        <f>AE35*AE36</f>
        <v>0.4</v>
      </c>
      <c r="AF37" s="305">
        <f>AF35*AF36</f>
        <v>0.4</v>
      </c>
      <c r="AG37" s="305"/>
      <c r="AH37" s="305">
        <f>AH35*AH36</f>
        <v>0.4</v>
      </c>
      <c r="AI37" s="305">
        <f>AI35*AI36</f>
        <v>0.4</v>
      </c>
      <c r="AJ37" s="305">
        <f>AJ35*AJ36</f>
        <v>0.4</v>
      </c>
      <c r="AK37" s="306">
        <f>AK35*AK36</f>
        <v>0.4</v>
      </c>
      <c r="AL37" s="490"/>
      <c r="AM37" s="305"/>
      <c r="AN37" s="305"/>
      <c r="AO37" s="305"/>
      <c r="AP37" s="491"/>
    </row>
    <row r="38" spans="1:42" x14ac:dyDescent="0.15">
      <c r="B38" s="39" t="s">
        <v>285</v>
      </c>
      <c r="K38" s="545"/>
      <c r="L38" s="10" t="s">
        <v>286</v>
      </c>
      <c r="M38" s="51"/>
      <c r="N38" s="313">
        <f>ROUNDDOWN(N37*N27,2)</f>
        <v>1513.34</v>
      </c>
      <c r="O38" s="314">
        <f>ROUNDDOWN(O37*O27,2)</f>
        <v>908</v>
      </c>
      <c r="P38" s="314">
        <f>ROUNDDOWN(P37*P27,2)</f>
        <v>908</v>
      </c>
      <c r="Q38" s="314">
        <f>ROUNDDOWN(Q37*Q27,2)</f>
        <v>1513.34</v>
      </c>
      <c r="R38" s="314"/>
      <c r="S38" s="314">
        <f>ROUNDDOWN(S37*S27,2)</f>
        <v>1513.34</v>
      </c>
      <c r="T38" s="314">
        <f>ROUNDDOWN(T37*T27,2)</f>
        <v>1513.34</v>
      </c>
      <c r="U38" s="314">
        <f>ROUNDDOWN(U37*U27,2)</f>
        <v>1513.34</v>
      </c>
      <c r="V38" s="314">
        <f>ROUNDDOWN(V37*V27,2)</f>
        <v>1513.34</v>
      </c>
      <c r="W38" s="314"/>
      <c r="X38" s="314">
        <f>ROUNDDOWN(X37*X27,2)</f>
        <v>908</v>
      </c>
      <c r="Y38" s="314">
        <f>ROUNDDOWN(Y37*Y27,2)</f>
        <v>908</v>
      </c>
      <c r="Z38" s="314">
        <f>ROUNDDOWN(Z37*Z27,2)</f>
        <v>908</v>
      </c>
      <c r="AA38" s="314">
        <f>ROUNDDOWN(AA37*AA27,2)</f>
        <v>908</v>
      </c>
      <c r="AB38" s="314"/>
      <c r="AC38" s="314">
        <f>ROUNDDOWN(AC37*AC27,2)</f>
        <v>1513.34</v>
      </c>
      <c r="AD38" s="314">
        <f>ROUNDDOWN(AD37*AD27,2)</f>
        <v>1513.34</v>
      </c>
      <c r="AE38" s="314">
        <f>ROUNDDOWN(AE37*AE27,2)</f>
        <v>1513.34</v>
      </c>
      <c r="AF38" s="314">
        <f>ROUNDDOWN(AF37*AF27,2)</f>
        <v>1513.34</v>
      </c>
      <c r="AG38" s="314"/>
      <c r="AH38" s="314">
        <f>ROUNDDOWN(AH37*AH27,2)</f>
        <v>1513.34</v>
      </c>
      <c r="AI38" s="314">
        <f>ROUNDDOWN(AI37*AI27,2)</f>
        <v>1513.34</v>
      </c>
      <c r="AJ38" s="314">
        <f>ROUNDDOWN(AJ37*AJ27,2)</f>
        <v>1513.34</v>
      </c>
      <c r="AK38" s="315">
        <f>ROUNDDOWN(AK37*AK27,2)</f>
        <v>1513.34</v>
      </c>
      <c r="AL38" s="498"/>
      <c r="AM38" s="314"/>
      <c r="AN38" s="314"/>
      <c r="AO38" s="314"/>
      <c r="AP38" s="499"/>
    </row>
    <row r="39" spans="1:42" x14ac:dyDescent="0.15">
      <c r="C39" s="39" t="s">
        <v>270</v>
      </c>
      <c r="K39" s="568" t="s">
        <v>287</v>
      </c>
      <c r="L39" s="8" t="s">
        <v>30</v>
      </c>
      <c r="M39" s="45" t="s">
        <v>31</v>
      </c>
      <c r="N39" s="318">
        <v>700</v>
      </c>
      <c r="O39" s="319">
        <f t="shared" ref="O39:AK39" si="1">+N39</f>
        <v>700</v>
      </c>
      <c r="P39" s="319">
        <f t="shared" si="1"/>
        <v>700</v>
      </c>
      <c r="Q39" s="319">
        <f t="shared" si="1"/>
        <v>700</v>
      </c>
      <c r="R39" s="319">
        <f t="shared" si="1"/>
        <v>700</v>
      </c>
      <c r="S39" s="319">
        <f t="shared" si="1"/>
        <v>700</v>
      </c>
      <c r="T39" s="319">
        <f t="shared" si="1"/>
        <v>700</v>
      </c>
      <c r="U39" s="319">
        <f t="shared" si="1"/>
        <v>700</v>
      </c>
      <c r="V39" s="319">
        <f t="shared" si="1"/>
        <v>700</v>
      </c>
      <c r="W39" s="319">
        <f t="shared" si="1"/>
        <v>700</v>
      </c>
      <c r="X39" s="319">
        <f t="shared" si="1"/>
        <v>700</v>
      </c>
      <c r="Y39" s="319">
        <f t="shared" si="1"/>
        <v>700</v>
      </c>
      <c r="Z39" s="319">
        <f t="shared" si="1"/>
        <v>700</v>
      </c>
      <c r="AA39" s="319">
        <f t="shared" si="1"/>
        <v>700</v>
      </c>
      <c r="AB39" s="319">
        <f t="shared" si="1"/>
        <v>700</v>
      </c>
      <c r="AC39" s="319">
        <f t="shared" si="1"/>
        <v>700</v>
      </c>
      <c r="AD39" s="319">
        <f t="shared" si="1"/>
        <v>700</v>
      </c>
      <c r="AE39" s="319">
        <f t="shared" si="1"/>
        <v>700</v>
      </c>
      <c r="AF39" s="319">
        <f t="shared" si="1"/>
        <v>700</v>
      </c>
      <c r="AG39" s="319">
        <f t="shared" si="1"/>
        <v>700</v>
      </c>
      <c r="AH39" s="319">
        <f t="shared" si="1"/>
        <v>700</v>
      </c>
      <c r="AI39" s="319">
        <f t="shared" si="1"/>
        <v>700</v>
      </c>
      <c r="AJ39" s="319">
        <f t="shared" si="1"/>
        <v>700</v>
      </c>
      <c r="AK39" s="320">
        <f t="shared" si="1"/>
        <v>700</v>
      </c>
      <c r="AL39" s="505"/>
      <c r="AM39" s="319"/>
      <c r="AN39" s="319"/>
      <c r="AO39" s="319"/>
      <c r="AP39" s="506"/>
    </row>
    <row r="40" spans="1:42" x14ac:dyDescent="0.15">
      <c r="K40" s="549"/>
      <c r="L40" s="9" t="s">
        <v>288</v>
      </c>
      <c r="M40" s="46" t="s">
        <v>31</v>
      </c>
      <c r="N40" s="304">
        <f>N39*180</f>
        <v>126000</v>
      </c>
      <c r="O40" s="305">
        <f>O39*180</f>
        <v>126000</v>
      </c>
      <c r="P40" s="305">
        <f>P39*180</f>
        <v>126000</v>
      </c>
      <c r="Q40" s="305">
        <f>Q39*180</f>
        <v>126000</v>
      </c>
      <c r="R40" s="305"/>
      <c r="S40" s="305">
        <f>S39*180</f>
        <v>126000</v>
      </c>
      <c r="T40" s="305">
        <f>T39*180</f>
        <v>126000</v>
      </c>
      <c r="U40" s="305">
        <f>U39*180</f>
        <v>126000</v>
      </c>
      <c r="V40" s="305">
        <f>V39*180</f>
        <v>126000</v>
      </c>
      <c r="W40" s="305"/>
      <c r="X40" s="305">
        <f>X39*180</f>
        <v>126000</v>
      </c>
      <c r="Y40" s="305">
        <f>Y39*180</f>
        <v>126000</v>
      </c>
      <c r="Z40" s="305">
        <f>Z39*180</f>
        <v>126000</v>
      </c>
      <c r="AA40" s="305">
        <f>AA39*180</f>
        <v>126000</v>
      </c>
      <c r="AB40" s="305"/>
      <c r="AC40" s="305">
        <f>AC39*180</f>
        <v>126000</v>
      </c>
      <c r="AD40" s="305">
        <f>AD39*180</f>
        <v>126000</v>
      </c>
      <c r="AE40" s="305">
        <f>AE39*180</f>
        <v>126000</v>
      </c>
      <c r="AF40" s="305">
        <f>AF39*180</f>
        <v>126000</v>
      </c>
      <c r="AG40" s="305"/>
      <c r="AH40" s="305">
        <f>AH39*180</f>
        <v>126000</v>
      </c>
      <c r="AI40" s="305">
        <f>AI39*180</f>
        <v>126000</v>
      </c>
      <c r="AJ40" s="305">
        <f>AJ39*180</f>
        <v>126000</v>
      </c>
      <c r="AK40" s="306">
        <f>AK39*180</f>
        <v>126000</v>
      </c>
      <c r="AL40" s="490"/>
      <c r="AM40" s="305"/>
      <c r="AN40" s="305"/>
      <c r="AO40" s="305"/>
      <c r="AP40" s="491"/>
    </row>
    <row r="41" spans="1:42" x14ac:dyDescent="0.15">
      <c r="B41" s="39" t="s">
        <v>289</v>
      </c>
      <c r="K41" s="549"/>
      <c r="L41" s="9" t="s">
        <v>290</v>
      </c>
      <c r="M41" s="46" t="s">
        <v>291</v>
      </c>
      <c r="N41" s="324">
        <f>ROUNDDOWN(PI()*N26^4/64,3)</f>
        <v>4.9000000000000002E-2</v>
      </c>
      <c r="O41" s="325">
        <f>ROUNDDOWN(PI()*O26^4/64,3)</f>
        <v>4.9000000000000002E-2</v>
      </c>
      <c r="P41" s="325">
        <f>ROUNDDOWN(PI()*P26^4/64,3)</f>
        <v>4.9000000000000002E-2</v>
      </c>
      <c r="Q41" s="325">
        <f>ROUNDDOWN(PI()*Q26^4/64,3)</f>
        <v>4.9000000000000002E-2</v>
      </c>
      <c r="R41" s="325"/>
      <c r="S41" s="325">
        <f>ROUNDDOWN(PI()*S26^4/64,3)</f>
        <v>4.9000000000000002E-2</v>
      </c>
      <c r="T41" s="325">
        <f>ROUNDDOWN(PI()*T26^4/64,3)</f>
        <v>4.9000000000000002E-2</v>
      </c>
      <c r="U41" s="325">
        <f>ROUNDDOWN(PI()*U26^4/64,3)</f>
        <v>4.9000000000000002E-2</v>
      </c>
      <c r="V41" s="325">
        <f>ROUNDDOWN(PI()*V26^4/64,3)</f>
        <v>4.9000000000000002E-2</v>
      </c>
      <c r="W41" s="325"/>
      <c r="X41" s="325">
        <f>ROUNDDOWN(PI()*X26^4/64,3)</f>
        <v>4.9000000000000002E-2</v>
      </c>
      <c r="Y41" s="325">
        <f>ROUNDDOWN(PI()*Y26^4/64,3)</f>
        <v>4.9000000000000002E-2</v>
      </c>
      <c r="Z41" s="325">
        <f>ROUNDDOWN(PI()*Z26^4/64,3)</f>
        <v>4.9000000000000002E-2</v>
      </c>
      <c r="AA41" s="325">
        <f>ROUNDDOWN(PI()*AA26^4/64,3)</f>
        <v>4.9000000000000002E-2</v>
      </c>
      <c r="AB41" s="325"/>
      <c r="AC41" s="325">
        <f>ROUNDDOWN(PI()*AC26^4/64,3)</f>
        <v>4.9000000000000002E-2</v>
      </c>
      <c r="AD41" s="325">
        <f>ROUNDDOWN(PI()*AD26^4/64,3)</f>
        <v>4.9000000000000002E-2</v>
      </c>
      <c r="AE41" s="325">
        <f>ROUNDDOWN(PI()*AE26^4/64,3)</f>
        <v>4.9000000000000002E-2</v>
      </c>
      <c r="AF41" s="325">
        <f>ROUNDDOWN(PI()*AF26^4/64,3)</f>
        <v>4.9000000000000002E-2</v>
      </c>
      <c r="AG41" s="325"/>
      <c r="AH41" s="325">
        <f>ROUNDDOWN(PI()*AH26^4/64,3)</f>
        <v>4.9000000000000002E-2</v>
      </c>
      <c r="AI41" s="325">
        <f>ROUNDDOWN(PI()*AI26^4/64,3)</f>
        <v>4.9000000000000002E-2</v>
      </c>
      <c r="AJ41" s="325">
        <f>ROUNDDOWN(PI()*AJ26^4/64,3)</f>
        <v>4.9000000000000002E-2</v>
      </c>
      <c r="AK41" s="326">
        <f>ROUNDDOWN(PI()*AK26^4/64,3)</f>
        <v>4.9000000000000002E-2</v>
      </c>
      <c r="AL41" s="511"/>
      <c r="AM41" s="325"/>
      <c r="AN41" s="325"/>
      <c r="AO41" s="325"/>
      <c r="AP41" s="512"/>
    </row>
    <row r="42" spans="1:42" x14ac:dyDescent="0.15">
      <c r="B42" s="39" t="s">
        <v>292</v>
      </c>
      <c r="K42" s="549"/>
      <c r="L42" s="9" t="s">
        <v>111</v>
      </c>
      <c r="M42" s="49"/>
      <c r="N42" s="321">
        <f>ROUNDDOWN((N38*N26/4/N40/N41)^(1/4),2)</f>
        <v>0.49</v>
      </c>
      <c r="O42" s="322">
        <f>ROUNDDOWN((O38*O26/4/O40/O41)^(1/4),2)</f>
        <v>0.43</v>
      </c>
      <c r="P42" s="322">
        <f>ROUNDDOWN((P38*P26/4/P40/P41)^(1/4),2)</f>
        <v>0.43</v>
      </c>
      <c r="Q42" s="322">
        <f>ROUNDDOWN((Q38*Q26/4/Q40/Q41)^(1/4),2)</f>
        <v>0.49</v>
      </c>
      <c r="R42" s="322"/>
      <c r="S42" s="322">
        <f>ROUNDDOWN((S38*S26/4/S40/S41)^(1/4),2)</f>
        <v>0.49</v>
      </c>
      <c r="T42" s="322">
        <f>ROUNDDOWN((T38*T26/4/T40/T41)^(1/4),2)</f>
        <v>0.49</v>
      </c>
      <c r="U42" s="322">
        <f>ROUNDDOWN((U38*U26/4/U40/U41)^(1/4),2)</f>
        <v>0.49</v>
      </c>
      <c r="V42" s="322">
        <f>ROUNDDOWN((V38*V26/4/V40/V41)^(1/4),2)</f>
        <v>0.49</v>
      </c>
      <c r="W42" s="322"/>
      <c r="X42" s="322">
        <f>ROUNDDOWN((X38*X26/4/X40/X41)^(1/4),2)</f>
        <v>0.43</v>
      </c>
      <c r="Y42" s="322">
        <f>ROUNDDOWN((Y38*Y26/4/Y40/Y41)^(1/4),2)</f>
        <v>0.43</v>
      </c>
      <c r="Z42" s="322">
        <f>ROUNDDOWN((Z38*Z26/4/Z40/Z41)^(1/4),2)</f>
        <v>0.43</v>
      </c>
      <c r="AA42" s="322">
        <f>ROUNDDOWN((AA38*AA26/4/AA40/AA41)^(1/4),2)</f>
        <v>0.43</v>
      </c>
      <c r="AB42" s="322"/>
      <c r="AC42" s="322">
        <f>ROUNDDOWN((AC38*AC26/4/AC40/AC41)^(1/4),2)</f>
        <v>0.49</v>
      </c>
      <c r="AD42" s="322">
        <f>ROUNDDOWN((AD38*AD26/4/AD40/AD41)^(1/4),2)</f>
        <v>0.49</v>
      </c>
      <c r="AE42" s="322">
        <f>ROUNDDOWN((AE38*AE26/4/AE40/AE41)^(1/4),2)</f>
        <v>0.49</v>
      </c>
      <c r="AF42" s="322">
        <f>ROUNDDOWN((AF38*AF26/4/AF40/AF41)^(1/4),2)</f>
        <v>0.49</v>
      </c>
      <c r="AG42" s="322"/>
      <c r="AH42" s="322">
        <f>ROUNDDOWN((AH38*AH26/4/AH40/AH41)^(1/4),2)</f>
        <v>0.49</v>
      </c>
      <c r="AI42" s="322">
        <f>ROUNDDOWN((AI38*AI26/4/AI40/AI41)^(1/4),2)</f>
        <v>0.49</v>
      </c>
      <c r="AJ42" s="322">
        <f>ROUNDDOWN((AJ38*AJ26/4/AJ40/AJ41)^(1/4),2)</f>
        <v>0.49</v>
      </c>
      <c r="AK42" s="323">
        <f>ROUNDDOWN((AK38*AK26/4/AK40/AK41)^(1/4),2)</f>
        <v>0.49</v>
      </c>
      <c r="AL42" s="509"/>
      <c r="AM42" s="322"/>
      <c r="AN42" s="322"/>
      <c r="AO42" s="322"/>
      <c r="AP42" s="510"/>
    </row>
    <row r="43" spans="1:42" x14ac:dyDescent="0.15">
      <c r="K43" s="549"/>
      <c r="L43" s="9" t="s">
        <v>26</v>
      </c>
      <c r="M43" s="46" t="s">
        <v>20</v>
      </c>
      <c r="N43" s="304">
        <f>鉛直!O10</f>
        <v>8</v>
      </c>
      <c r="O43" s="305">
        <f>鉛直!P10</f>
        <v>9.02</v>
      </c>
      <c r="P43" s="305">
        <f>鉛直!Q10</f>
        <v>9.02</v>
      </c>
      <c r="Q43" s="305">
        <f>鉛直!R10</f>
        <v>9.02</v>
      </c>
      <c r="R43" s="305"/>
      <c r="S43" s="305">
        <v>16.2</v>
      </c>
      <c r="T43" s="305">
        <v>16.2</v>
      </c>
      <c r="U43" s="305">
        <v>16.2</v>
      </c>
      <c r="V43" s="305">
        <v>16.2</v>
      </c>
      <c r="W43" s="305"/>
      <c r="X43" s="305">
        <v>16.2</v>
      </c>
      <c r="Y43" s="305">
        <v>16.2</v>
      </c>
      <c r="Z43" s="305">
        <v>16.2</v>
      </c>
      <c r="AA43" s="305">
        <v>16.2</v>
      </c>
      <c r="AB43" s="305"/>
      <c r="AC43" s="305">
        <v>16.2</v>
      </c>
      <c r="AD43" s="305">
        <v>16.2</v>
      </c>
      <c r="AE43" s="305">
        <v>16.2</v>
      </c>
      <c r="AF43" s="305">
        <v>16.2</v>
      </c>
      <c r="AG43" s="305"/>
      <c r="AH43" s="305">
        <v>16.2</v>
      </c>
      <c r="AI43" s="305">
        <v>16.2</v>
      </c>
      <c r="AJ43" s="305">
        <v>16.2</v>
      </c>
      <c r="AK43" s="306">
        <v>16.2</v>
      </c>
      <c r="AL43" s="490"/>
      <c r="AM43" s="305"/>
      <c r="AN43" s="305"/>
      <c r="AO43" s="305"/>
      <c r="AP43" s="491"/>
    </row>
    <row r="44" spans="1:42" x14ac:dyDescent="0.15">
      <c r="A44" s="39" t="s">
        <v>293</v>
      </c>
      <c r="K44" s="549"/>
      <c r="L44" s="9" t="s">
        <v>294</v>
      </c>
      <c r="M44" s="49"/>
      <c r="N44" s="304">
        <f>ROUNDDOWN(N42*N43,1)</f>
        <v>3.9</v>
      </c>
      <c r="O44" s="305">
        <f>ROUNDDOWN(O42*O43,1)</f>
        <v>3.8</v>
      </c>
      <c r="P44" s="305">
        <f>ROUNDDOWN(P42*P43,1)</f>
        <v>3.8</v>
      </c>
      <c r="Q44" s="305">
        <f>ROUNDDOWN(Q42*Q43,1)</f>
        <v>4.4000000000000004</v>
      </c>
      <c r="R44" s="305"/>
      <c r="S44" s="305">
        <f>ROUNDDOWN(S42*S43,1)</f>
        <v>7.9</v>
      </c>
      <c r="T44" s="305">
        <f>ROUNDDOWN(T42*T43,1)</f>
        <v>7.9</v>
      </c>
      <c r="U44" s="305">
        <f>ROUNDDOWN(U42*U43,1)</f>
        <v>7.9</v>
      </c>
      <c r="V44" s="305">
        <f>ROUNDDOWN(V42*V43,1)</f>
        <v>7.9</v>
      </c>
      <c r="W44" s="305"/>
      <c r="X44" s="305">
        <f>ROUNDDOWN(X42*X43,1)</f>
        <v>6.9</v>
      </c>
      <c r="Y44" s="305">
        <f>ROUNDDOWN(Y42*Y43,1)</f>
        <v>6.9</v>
      </c>
      <c r="Z44" s="305">
        <f>ROUNDDOWN(Z42*Z43,1)</f>
        <v>6.9</v>
      </c>
      <c r="AA44" s="305">
        <f>ROUNDDOWN(AA42*AA43,1)</f>
        <v>6.9</v>
      </c>
      <c r="AB44" s="305"/>
      <c r="AC44" s="305">
        <f>ROUNDDOWN(AC42*AC43,1)</f>
        <v>7.9</v>
      </c>
      <c r="AD44" s="305">
        <f>ROUNDDOWN(AD42*AD43,1)</f>
        <v>7.9</v>
      </c>
      <c r="AE44" s="305">
        <f>ROUNDDOWN(AE42*AE43,1)</f>
        <v>7.9</v>
      </c>
      <c r="AF44" s="305">
        <f>ROUNDDOWN(AF42*AF43,1)</f>
        <v>7.9</v>
      </c>
      <c r="AG44" s="305"/>
      <c r="AH44" s="305">
        <f>ROUNDDOWN(AH42*AH43,1)</f>
        <v>7.9</v>
      </c>
      <c r="AI44" s="305">
        <f>ROUNDDOWN(AI42*AI43,1)</f>
        <v>7.9</v>
      </c>
      <c r="AJ44" s="305">
        <f>ROUNDDOWN(AJ42*AJ43,1)</f>
        <v>7.9</v>
      </c>
      <c r="AK44" s="306">
        <f>ROUNDDOWN(AK42*AK43,1)</f>
        <v>7.9</v>
      </c>
      <c r="AL44" s="490"/>
      <c r="AM44" s="305"/>
      <c r="AN44" s="305"/>
      <c r="AO44" s="305"/>
      <c r="AP44" s="491"/>
    </row>
    <row r="45" spans="1:42" x14ac:dyDescent="0.15">
      <c r="B45" s="27" t="s">
        <v>295</v>
      </c>
      <c r="K45" s="549"/>
      <c r="L45" s="9" t="s">
        <v>296</v>
      </c>
      <c r="M45" s="49"/>
      <c r="N45" s="324">
        <f>IF($E$54=0.25,IF(N44&lt;5,VLOOKUP(N44,Sheet3!$A$5:$I$50,2,0),Sheet3!$B$50),IF(N44&lt;5,VLOOKUP(N44,Sheet3!$A$5:$I$50,6,0),Sheet3!$F$50))</f>
        <v>0.64500000000000002</v>
      </c>
      <c r="O45" s="325">
        <f>IF($E$54=0.25,IF(O44&lt;5,VLOOKUP(O44,Sheet3!$A$5:$I$50,2,0),Sheet3!$B$50),IF(O44&lt;5,VLOOKUP(O44,Sheet3!$A$5:$I$50,6,0),Sheet3!$F$50))</f>
        <v>0.64500000000000002</v>
      </c>
      <c r="P45" s="325">
        <f>IF($E$54=0.25,IF(P44&lt;5,VLOOKUP(P44,Sheet3!$A$5:$I$50,2,0),Sheet3!$B$50),IF(P44&lt;5,VLOOKUP(P44,Sheet3!$A$5:$I$50,6,0),Sheet3!$F$50))</f>
        <v>0.64500000000000002</v>
      </c>
      <c r="Q45" s="325">
        <f>IF($E$54=0.25,IF(Q44&lt;5,VLOOKUP(Q44,Sheet3!$A$5:$I$50,2,0),Sheet3!$B$50),IF(Q44&lt;5,VLOOKUP(Q44,Sheet3!$A$5:$I$50,6,0),Sheet3!$F$50))</f>
        <v>0.64400000000000002</v>
      </c>
      <c r="R45" s="325"/>
      <c r="S45" s="325">
        <f>IF($E$54=0.25,IF(S44&lt;5,VLOOKUP(S44,Sheet3!$A$5:$I$50,2,0),Sheet3!$B$50),IF(S44&lt;5,VLOOKUP(S44,Sheet3!$A$5:$I$50,6,0),Sheet3!$F$50))</f>
        <v>0.64500000000000002</v>
      </c>
      <c r="T45" s="325">
        <f>IF($E$54=0.25,IF(T44&lt;5,VLOOKUP(T44,Sheet3!$A$5:$I$50,2,0),Sheet3!$B$50),IF(T44&lt;5,VLOOKUP(T44,Sheet3!$A$5:$I$50,6,0),Sheet3!$F$50))</f>
        <v>0.64500000000000002</v>
      </c>
      <c r="U45" s="325">
        <f>IF($E$54=0.25,IF(U44&lt;5,VLOOKUP(U44,Sheet3!$A$5:$I$50,2,0),Sheet3!$B$50),IF(U44&lt;5,VLOOKUP(U44,Sheet3!$A$5:$I$50,6,0),Sheet3!$F$50))</f>
        <v>0.64500000000000002</v>
      </c>
      <c r="V45" s="325">
        <f>IF($E$54=0.25,IF(V44&lt;5,VLOOKUP(V44,Sheet3!$A$5:$I$50,2,0),Sheet3!$B$50),IF(V44&lt;5,VLOOKUP(V44,Sheet3!$A$5:$I$50,6,0),Sheet3!$F$50))</f>
        <v>0.64500000000000002</v>
      </c>
      <c r="W45" s="325"/>
      <c r="X45" s="325">
        <f>IF($E$54=0.25,IF(X44&lt;5,VLOOKUP(X44,Sheet3!$A$5:$I$50,2,0),Sheet3!$B$50),IF(X44&lt;5,VLOOKUP(X44,Sheet3!$A$5:$I$50,6,0),Sheet3!$F$50))</f>
        <v>0.64500000000000002</v>
      </c>
      <c r="Y45" s="325">
        <f>IF($E$54=0.25,IF(Y44&lt;5,VLOOKUP(Y44,Sheet3!$A$5:$I$50,2,0),Sheet3!$B$50),IF(Y44&lt;5,VLOOKUP(Y44,Sheet3!$A$5:$I$50,6,0),Sheet3!$F$50))</f>
        <v>0.64500000000000002</v>
      </c>
      <c r="Z45" s="325">
        <f>IF($E$54=0.25,IF(Z44&lt;5,VLOOKUP(Z44,Sheet3!$A$5:$I$50,2,0),Sheet3!$B$50),IF(Z44&lt;5,VLOOKUP(Z44,Sheet3!$A$5:$I$50,6,0),Sheet3!$F$50))</f>
        <v>0.64500000000000002</v>
      </c>
      <c r="AA45" s="325">
        <f>IF($E$54=0.25,IF(AA44&lt;5,VLOOKUP(AA44,Sheet3!$A$5:$I$50,2,0),Sheet3!$B$50),IF(AA44&lt;5,VLOOKUP(AA44,Sheet3!$A$5:$I$50,6,0),Sheet3!$F$50))</f>
        <v>0.64500000000000002</v>
      </c>
      <c r="AB45" s="325"/>
      <c r="AC45" s="325">
        <f>IF($E$54=0.25,IF(AC44&lt;5,VLOOKUP(AC44,Sheet3!$A$5:$I$50,2,0),Sheet3!$B$50),IF(AC44&lt;5,VLOOKUP(AC44,Sheet3!$A$5:$I$50,6,0),Sheet3!$F$50))</f>
        <v>0.64500000000000002</v>
      </c>
      <c r="AD45" s="325">
        <f>IF($E$54=0.25,IF(AD44&lt;5,VLOOKUP(AD44,Sheet3!$A$5:$I$50,2,0),Sheet3!$B$50),IF(AD44&lt;5,VLOOKUP(AD44,Sheet3!$A$5:$I$50,6,0),Sheet3!$F$50))</f>
        <v>0.64500000000000002</v>
      </c>
      <c r="AE45" s="325">
        <f>IF($E$54=0.25,IF(AE44&lt;5,VLOOKUP(AE44,Sheet3!$A$5:$I$50,2,0),Sheet3!$B$50),IF(AE44&lt;5,VLOOKUP(AE44,Sheet3!$A$5:$I$50,6,0),Sheet3!$F$50))</f>
        <v>0.64500000000000002</v>
      </c>
      <c r="AF45" s="325">
        <f>IF($E$54=0.25,IF(AF44&lt;5,VLOOKUP(AF44,Sheet3!$A$5:$I$50,2,0),Sheet3!$B$50),IF(AF44&lt;5,VLOOKUP(AF44,Sheet3!$A$5:$I$50,6,0),Sheet3!$F$50))</f>
        <v>0.64500000000000002</v>
      </c>
      <c r="AG45" s="325"/>
      <c r="AH45" s="325">
        <f>IF($E$54=0.25,IF(AH44&lt;5,VLOOKUP(AH44,Sheet3!$A$5:$I$50,2,0),Sheet3!$B$50),IF(AH44&lt;5,VLOOKUP(AH44,Sheet3!$A$5:$I$50,6,0),Sheet3!$F$50))</f>
        <v>0.64500000000000002</v>
      </c>
      <c r="AI45" s="325">
        <f>IF($E$54=0.25,IF(AI44&lt;5,VLOOKUP(AI44,Sheet3!$A$5:$I$50,2,0),Sheet3!$B$50),IF(AI44&lt;5,VLOOKUP(AI44,Sheet3!$A$5:$I$50,6,0),Sheet3!$F$50))</f>
        <v>0.64500000000000002</v>
      </c>
      <c r="AJ45" s="325">
        <f>IF($E$54=0.25,IF(AJ44&lt;5,VLOOKUP(AJ44,Sheet3!$A$5:$I$50,2,0),Sheet3!$B$50),IF(AJ44&lt;5,VLOOKUP(AJ44,Sheet3!$A$5:$I$50,6,0),Sheet3!$F$50))</f>
        <v>0.64500000000000002</v>
      </c>
      <c r="AK45" s="326">
        <f>IF($E$54=0.25,IF(AK44&lt;5,VLOOKUP(AK44,Sheet3!$A$5:$I$50,2,0),Sheet3!$B$50),IF(AK44&lt;5,VLOOKUP(AK44,Sheet3!$A$5:$I$50,6,0),Sheet3!$F$50))</f>
        <v>0.64500000000000002</v>
      </c>
      <c r="AL45" s="511"/>
      <c r="AM45" s="325"/>
      <c r="AN45" s="325"/>
      <c r="AO45" s="325"/>
      <c r="AP45" s="512"/>
    </row>
    <row r="46" spans="1:42" x14ac:dyDescent="0.15">
      <c r="B46" s="39" t="s">
        <v>297</v>
      </c>
      <c r="F46" s="39" t="s">
        <v>298</v>
      </c>
      <c r="K46" s="549"/>
      <c r="L46" s="9" t="s">
        <v>299</v>
      </c>
      <c r="M46" s="49"/>
      <c r="N46" s="324">
        <f>IF($E$54=0.25,IF(N44&lt;5,VLOOKUP(N44,Sheet3!$A$5:$I$50,3,0),Sheet3!$C$50),IF(N44&lt;5,VLOOKUP(N44,Sheet3!$A$5:$I$50,7,0),Sheet3!$G$50))</f>
        <v>0</v>
      </c>
      <c r="O46" s="325">
        <f>IF($E$54=0.25,IF(O44&lt;5,VLOOKUP(O44,Sheet3!$A$5:$I$50,3,0),Sheet3!$C$50),IF(O44&lt;5,VLOOKUP(O44,Sheet3!$A$5:$I$50,7,0),Sheet3!$G$50))</f>
        <v>0</v>
      </c>
      <c r="P46" s="325">
        <f>IF($E$54=0.25,IF(P44&lt;5,VLOOKUP(P44,Sheet3!$A$5:$I$50,3,0),Sheet3!$C$50),IF(P44&lt;5,VLOOKUP(P44,Sheet3!$A$5:$I$50,7,0),Sheet3!$G$50))</f>
        <v>0</v>
      </c>
      <c r="Q46" s="325">
        <f>IF($E$54=0.25,IF(Q44&lt;5,VLOOKUP(Q44,Sheet3!$A$5:$I$50,3,0),Sheet3!$C$50),IF(Q44&lt;5,VLOOKUP(Q44,Sheet3!$A$5:$I$50,7,0),Sheet3!$G$50))</f>
        <v>0</v>
      </c>
      <c r="R46" s="325"/>
      <c r="S46" s="325">
        <f>IF($E$54=0.25,IF(S44&lt;5,VLOOKUP(S44,Sheet3!$A$5:$I$50,3,0),Sheet3!$C$50),IF(S44&lt;5,VLOOKUP(S44,Sheet3!$A$5:$I$50,7,0),Sheet3!$G$50))</f>
        <v>0</v>
      </c>
      <c r="T46" s="325">
        <f>IF($E$54=0.25,IF(T44&lt;5,VLOOKUP(T44,Sheet3!$A$5:$I$50,3,0),Sheet3!$C$50),IF(T44&lt;5,VLOOKUP(T44,Sheet3!$A$5:$I$50,7,0),Sheet3!$G$50))</f>
        <v>0</v>
      </c>
      <c r="U46" s="325">
        <f>IF($E$54=0.25,IF(U44&lt;5,VLOOKUP(U44,Sheet3!$A$5:$I$50,3,0),Sheet3!$C$50),IF(U44&lt;5,VLOOKUP(U44,Sheet3!$A$5:$I$50,7,0),Sheet3!$G$50))</f>
        <v>0</v>
      </c>
      <c r="V46" s="325">
        <f>IF($E$54=0.25,IF(V44&lt;5,VLOOKUP(V44,Sheet3!$A$5:$I$50,3,0),Sheet3!$C$50),IF(V44&lt;5,VLOOKUP(V44,Sheet3!$A$5:$I$50,7,0),Sheet3!$G$50))</f>
        <v>0</v>
      </c>
      <c r="W46" s="325"/>
      <c r="X46" s="325">
        <f>IF($E$54=0.25,IF(X44&lt;5,VLOOKUP(X44,Sheet3!$A$5:$I$50,3,0),Sheet3!$C$50),IF(X44&lt;5,VLOOKUP(X44,Sheet3!$A$5:$I$50,7,0),Sheet3!$G$50))</f>
        <v>0</v>
      </c>
      <c r="Y46" s="325">
        <f>IF($E$54=0.25,IF(Y44&lt;5,VLOOKUP(Y44,Sheet3!$A$5:$I$50,3,0),Sheet3!$C$50),IF(Y44&lt;5,VLOOKUP(Y44,Sheet3!$A$5:$I$50,7,0),Sheet3!$G$50))</f>
        <v>0</v>
      </c>
      <c r="Z46" s="325">
        <f>IF($E$54=0.25,IF(Z44&lt;5,VLOOKUP(Z44,Sheet3!$A$5:$I$50,3,0),Sheet3!$C$50),IF(Z44&lt;5,VLOOKUP(Z44,Sheet3!$A$5:$I$50,7,0),Sheet3!$G$50))</f>
        <v>0</v>
      </c>
      <c r="AA46" s="325">
        <f>IF($E$54=0.25,IF(AA44&lt;5,VLOOKUP(AA44,Sheet3!$A$5:$I$50,3,0),Sheet3!$C$50),IF(AA44&lt;5,VLOOKUP(AA44,Sheet3!$A$5:$I$50,7,0),Sheet3!$G$50))</f>
        <v>0</v>
      </c>
      <c r="AB46" s="325"/>
      <c r="AC46" s="325">
        <f>IF($E$54=0.25,IF(AC44&lt;5,VLOOKUP(AC44,Sheet3!$A$5:$I$50,3,0),Sheet3!$C$50),IF(AC44&lt;5,VLOOKUP(AC44,Sheet3!$A$5:$I$50,7,0),Sheet3!$G$50))</f>
        <v>0</v>
      </c>
      <c r="AD46" s="325">
        <f>IF($E$54=0.25,IF(AD44&lt;5,VLOOKUP(AD44,Sheet3!$A$5:$I$50,3,0),Sheet3!$C$50),IF(AD44&lt;5,VLOOKUP(AD44,Sheet3!$A$5:$I$50,7,0),Sheet3!$G$50))</f>
        <v>0</v>
      </c>
      <c r="AE46" s="325">
        <f>IF($E$54=0.25,IF(AE44&lt;5,VLOOKUP(AE44,Sheet3!$A$5:$I$50,3,0),Sheet3!$C$50),IF(AE44&lt;5,VLOOKUP(AE44,Sheet3!$A$5:$I$50,7,0),Sheet3!$G$50))</f>
        <v>0</v>
      </c>
      <c r="AF46" s="325">
        <f>IF($E$54=0.25,IF(AF44&lt;5,VLOOKUP(AF44,Sheet3!$A$5:$I$50,3,0),Sheet3!$C$50),IF(AF44&lt;5,VLOOKUP(AF44,Sheet3!$A$5:$I$50,7,0),Sheet3!$G$50))</f>
        <v>0</v>
      </c>
      <c r="AG46" s="325"/>
      <c r="AH46" s="325">
        <f>IF($E$54=0.25,IF(AH44&lt;5,VLOOKUP(AH44,Sheet3!$A$5:$I$50,3,0),Sheet3!$C$50),IF(AH44&lt;5,VLOOKUP(AH44,Sheet3!$A$5:$I$50,7,0),Sheet3!$G$50))</f>
        <v>0</v>
      </c>
      <c r="AI46" s="325">
        <f>IF($E$54=0.25,IF(AI44&lt;5,VLOOKUP(AI44,Sheet3!$A$5:$I$50,3,0),Sheet3!$C$50),IF(AI44&lt;5,VLOOKUP(AI44,Sheet3!$A$5:$I$50,7,0),Sheet3!$G$50))</f>
        <v>0</v>
      </c>
      <c r="AJ46" s="325">
        <f>IF($E$54=0.25,IF(AJ44&lt;5,VLOOKUP(AJ44,Sheet3!$A$5:$I$50,3,0),Sheet3!$C$50),IF(AJ44&lt;5,VLOOKUP(AJ44,Sheet3!$A$5:$I$50,7,0),Sheet3!$G$50))</f>
        <v>0</v>
      </c>
      <c r="AK46" s="326">
        <f>IF($E$54=0.25,IF(AK44&lt;5,VLOOKUP(AK44,Sheet3!$A$5:$I$50,3,0),Sheet3!$C$50),IF(AK44&lt;5,VLOOKUP(AK44,Sheet3!$A$5:$I$50,7,0),Sheet3!$G$50))</f>
        <v>0</v>
      </c>
      <c r="AL46" s="511"/>
      <c r="AM46" s="325"/>
      <c r="AN46" s="325"/>
      <c r="AO46" s="325"/>
      <c r="AP46" s="512"/>
    </row>
    <row r="47" spans="1:42" x14ac:dyDescent="0.15">
      <c r="B47" s="39" t="s">
        <v>300</v>
      </c>
      <c r="F47" s="39" t="s">
        <v>298</v>
      </c>
      <c r="K47" s="549"/>
      <c r="L47" s="9" t="s">
        <v>301</v>
      </c>
      <c r="M47" s="49"/>
      <c r="N47" s="324">
        <f>$E$54</f>
        <v>0</v>
      </c>
      <c r="O47" s="325">
        <f>$E$54</f>
        <v>0</v>
      </c>
      <c r="P47" s="325">
        <f>$E$54</f>
        <v>0</v>
      </c>
      <c r="Q47" s="325">
        <f>$E$54</f>
        <v>0</v>
      </c>
      <c r="R47" s="325"/>
      <c r="S47" s="325">
        <f>$E$54</f>
        <v>0</v>
      </c>
      <c r="T47" s="325">
        <f>$E$54</f>
        <v>0</v>
      </c>
      <c r="U47" s="325">
        <f>$E$54</f>
        <v>0</v>
      </c>
      <c r="V47" s="325">
        <f>$E$54</f>
        <v>0</v>
      </c>
      <c r="W47" s="325"/>
      <c r="X47" s="325">
        <f>$E$54</f>
        <v>0</v>
      </c>
      <c r="Y47" s="325">
        <f>$E$54</f>
        <v>0</v>
      </c>
      <c r="Z47" s="325">
        <f>$E$54</f>
        <v>0</v>
      </c>
      <c r="AA47" s="325">
        <f>$E$54</f>
        <v>0</v>
      </c>
      <c r="AB47" s="325"/>
      <c r="AC47" s="325">
        <f>$E$54</f>
        <v>0</v>
      </c>
      <c r="AD47" s="325">
        <f>$E$54</f>
        <v>0</v>
      </c>
      <c r="AE47" s="325">
        <f>$E$54</f>
        <v>0</v>
      </c>
      <c r="AF47" s="325">
        <f>$E$54</f>
        <v>0</v>
      </c>
      <c r="AG47" s="325"/>
      <c r="AH47" s="325">
        <f>$E$54</f>
        <v>0</v>
      </c>
      <c r="AI47" s="325">
        <f>$E$54</f>
        <v>0</v>
      </c>
      <c r="AJ47" s="325">
        <f>$E$54</f>
        <v>0</v>
      </c>
      <c r="AK47" s="326">
        <f>$E$54</f>
        <v>0</v>
      </c>
      <c r="AL47" s="511"/>
      <c r="AM47" s="325"/>
      <c r="AN47" s="325"/>
      <c r="AO47" s="325"/>
      <c r="AP47" s="512"/>
    </row>
    <row r="48" spans="1:42" x14ac:dyDescent="0.15">
      <c r="B48" s="39" t="s">
        <v>302</v>
      </c>
      <c r="F48" s="39" t="s">
        <v>298</v>
      </c>
      <c r="K48" s="549"/>
      <c r="L48" s="9" t="s">
        <v>303</v>
      </c>
      <c r="M48" s="46" t="s">
        <v>304</v>
      </c>
      <c r="N48" s="321">
        <f>ROUNDDOWN(N22/2/N42*N45,2)</f>
        <v>10.92</v>
      </c>
      <c r="O48" s="322">
        <f>ROUNDDOWN(O22/2/O42*O45,2)</f>
        <v>22.35</v>
      </c>
      <c r="P48" s="322">
        <f>ROUNDDOWN(P22/2/P42*P45,2)</f>
        <v>14.36</v>
      </c>
      <c r="Q48" s="322">
        <f>ROUNDDOWN(Q22/2/Q42*Q45,2)</f>
        <v>4.6100000000000003</v>
      </c>
      <c r="R48" s="322"/>
      <c r="S48" s="322">
        <f>ROUNDDOWN(S22/2/S42*S45,2)</f>
        <v>6.8</v>
      </c>
      <c r="T48" s="322">
        <f>ROUNDDOWN(T22/2/T42*T45,2)</f>
        <v>4.72</v>
      </c>
      <c r="U48" s="322">
        <f>ROUNDDOWN(U22/2/U42*U45,2)</f>
        <v>4.82</v>
      </c>
      <c r="V48" s="322">
        <f>ROUNDDOWN(V22/2/V42*V45,2)</f>
        <v>6.9</v>
      </c>
      <c r="W48" s="322"/>
      <c r="X48" s="322">
        <f>ROUNDDOWN(X22/2/X42*X45,2)</f>
        <v>12.06</v>
      </c>
      <c r="Y48" s="322">
        <f>ROUNDDOWN(Y22/2/Y42*Y45,2)</f>
        <v>12.19</v>
      </c>
      <c r="Z48" s="322">
        <f>ROUNDDOWN(Z22/2/Z42*Z45,2)</f>
        <v>11.09</v>
      </c>
      <c r="AA48" s="322">
        <f>ROUNDDOWN(AA22/2/AA42*AA45,2)</f>
        <v>13.65</v>
      </c>
      <c r="AB48" s="322"/>
      <c r="AC48" s="322">
        <f>ROUNDDOWN(AC22/2/AC42*AC45,2)</f>
        <v>6.52</v>
      </c>
      <c r="AD48" s="322">
        <f>ROUNDDOWN(AD22/2/AD42*AD45,2)</f>
        <v>4.54</v>
      </c>
      <c r="AE48" s="322">
        <f>ROUNDDOWN(AE22/2/AE42*AE45,2)</f>
        <v>4.54</v>
      </c>
      <c r="AF48" s="322">
        <f>ROUNDDOWN(AF22/2/AF42*AF45,2)</f>
        <v>6.52</v>
      </c>
      <c r="AG48" s="322"/>
      <c r="AH48" s="322">
        <f>ROUNDDOWN(AH22/2/AH42*AH45,2)</f>
        <v>9.92</v>
      </c>
      <c r="AI48" s="322">
        <f>ROUNDDOWN(AI22/2/AI42*AI45,2)</f>
        <v>11.56</v>
      </c>
      <c r="AJ48" s="322">
        <f>ROUNDDOWN(AJ22/2/AJ42*AJ45,2)</f>
        <v>11.28</v>
      </c>
      <c r="AK48" s="323">
        <f>ROUNDDOWN(AK22/2/AK42*AK45,2)</f>
        <v>12.43</v>
      </c>
      <c r="AL48" s="509"/>
      <c r="AM48" s="322"/>
      <c r="AN48" s="322"/>
      <c r="AO48" s="322"/>
      <c r="AP48" s="510"/>
    </row>
    <row r="49" spans="1:42" ht="13.5" customHeight="1" x14ac:dyDescent="0.15">
      <c r="C49" s="39" t="s">
        <v>305</v>
      </c>
      <c r="G49" s="39" t="s">
        <v>237</v>
      </c>
      <c r="K49" s="549"/>
      <c r="L49" s="9" t="s">
        <v>306</v>
      </c>
      <c r="M49" s="46" t="s">
        <v>304</v>
      </c>
      <c r="N49" s="321">
        <f>ROUNDDOWN(N22/2/N42*N46,2)</f>
        <v>0</v>
      </c>
      <c r="O49" s="322">
        <f>ROUNDDOWN(O22/2/O42*O46,2)</f>
        <v>0</v>
      </c>
      <c r="P49" s="322">
        <f>ROUNDDOWN(P22/2/P42*P46,2)</f>
        <v>0</v>
      </c>
      <c r="Q49" s="322">
        <f>ROUNDDOWN(Q22/2/Q42*Q46,2)</f>
        <v>0</v>
      </c>
      <c r="R49" s="322"/>
      <c r="S49" s="322">
        <f>ROUNDDOWN(S22/2/S42*S46,2)</f>
        <v>0</v>
      </c>
      <c r="T49" s="322">
        <f>ROUNDDOWN(T22/2/T42*T46,2)</f>
        <v>0</v>
      </c>
      <c r="U49" s="322">
        <f>ROUNDDOWN(U22/2/U42*U46,2)</f>
        <v>0</v>
      </c>
      <c r="V49" s="322">
        <f>ROUNDDOWN(V22/2/V42*V46,2)</f>
        <v>0</v>
      </c>
      <c r="W49" s="322"/>
      <c r="X49" s="322">
        <f>ROUNDDOWN(X22/2/X42*X46,2)</f>
        <v>0</v>
      </c>
      <c r="Y49" s="322">
        <f>ROUNDDOWN(Y22/2/Y42*Y46,2)</f>
        <v>0</v>
      </c>
      <c r="Z49" s="322">
        <f>ROUNDDOWN(Z22/2/Z42*Z46,2)</f>
        <v>0</v>
      </c>
      <c r="AA49" s="322">
        <f>ROUNDDOWN(AA22/2/AA42*AA46,2)</f>
        <v>0</v>
      </c>
      <c r="AB49" s="322"/>
      <c r="AC49" s="322">
        <f>ROUNDDOWN(AC22/2/AC42*AC46,2)</f>
        <v>0</v>
      </c>
      <c r="AD49" s="322">
        <f>ROUNDDOWN(AD22/2/AD42*AD46,2)</f>
        <v>0</v>
      </c>
      <c r="AE49" s="322">
        <f>ROUNDDOWN(AE22/2/AE42*AE46,2)</f>
        <v>0</v>
      </c>
      <c r="AF49" s="322">
        <f>ROUNDDOWN(AF22/2/AF42*AF46,2)</f>
        <v>0</v>
      </c>
      <c r="AG49" s="322"/>
      <c r="AH49" s="322">
        <f>ROUNDDOWN(AH22/2/AH42*AH46,2)</f>
        <v>0</v>
      </c>
      <c r="AI49" s="322">
        <f>ROUNDDOWN(AI22/2/AI42*AI46,2)</f>
        <v>0</v>
      </c>
      <c r="AJ49" s="322">
        <f>ROUNDDOWN(AJ22/2/AJ42*AJ46,2)</f>
        <v>0</v>
      </c>
      <c r="AK49" s="323">
        <f>ROUNDDOWN(AK22/2/AK42*AK46,2)</f>
        <v>0</v>
      </c>
      <c r="AL49" s="509"/>
      <c r="AM49" s="322"/>
      <c r="AN49" s="322"/>
      <c r="AO49" s="322"/>
      <c r="AP49" s="510"/>
    </row>
    <row r="50" spans="1:42" x14ac:dyDescent="0.15">
      <c r="C50" s="39" t="s">
        <v>307</v>
      </c>
      <c r="K50" s="545"/>
      <c r="L50" s="10" t="s">
        <v>308</v>
      </c>
      <c r="M50" s="50" t="s">
        <v>304</v>
      </c>
      <c r="N50" s="313">
        <f>ROUNDDOWN(MAX(N48:N49),2)</f>
        <v>10.92</v>
      </c>
      <c r="O50" s="314">
        <f>ROUNDDOWN(MAX(O48:O49),2)</f>
        <v>22.35</v>
      </c>
      <c r="P50" s="314">
        <f>ROUNDDOWN(MAX(P48:P49),2)</f>
        <v>14.36</v>
      </c>
      <c r="Q50" s="314">
        <f>ROUNDDOWN(MAX(Q48:Q49),2)</f>
        <v>4.6100000000000003</v>
      </c>
      <c r="R50" s="314"/>
      <c r="S50" s="314">
        <f>ROUNDDOWN(MAX(S48:S49),2)</f>
        <v>6.8</v>
      </c>
      <c r="T50" s="314">
        <f>ROUNDDOWN(MAX(T48:T49),2)</f>
        <v>4.72</v>
      </c>
      <c r="U50" s="314">
        <f>ROUNDDOWN(MAX(U48:U49),2)</f>
        <v>4.82</v>
      </c>
      <c r="V50" s="314">
        <f>ROUNDDOWN(MAX(V48:V49),2)</f>
        <v>6.9</v>
      </c>
      <c r="W50" s="314"/>
      <c r="X50" s="314">
        <f>ROUNDDOWN(MAX(X48:X49),2)</f>
        <v>12.06</v>
      </c>
      <c r="Y50" s="314">
        <f>ROUNDDOWN(MAX(Y48:Y49),2)</f>
        <v>12.19</v>
      </c>
      <c r="Z50" s="314">
        <f>ROUNDDOWN(MAX(Z48:Z49),2)</f>
        <v>11.09</v>
      </c>
      <c r="AA50" s="314">
        <f>ROUNDDOWN(MAX(AA48:AA49),2)</f>
        <v>13.65</v>
      </c>
      <c r="AB50" s="314"/>
      <c r="AC50" s="314">
        <f>ROUNDDOWN(MAX(AC48:AC49),2)</f>
        <v>6.52</v>
      </c>
      <c r="AD50" s="314">
        <f>ROUNDDOWN(MAX(AD48:AD49),2)</f>
        <v>4.54</v>
      </c>
      <c r="AE50" s="314">
        <f>ROUNDDOWN(MAX(AE48:AE49),2)</f>
        <v>4.54</v>
      </c>
      <c r="AF50" s="314">
        <f>ROUNDDOWN(MAX(AF48:AF49),2)</f>
        <v>6.52</v>
      </c>
      <c r="AG50" s="314"/>
      <c r="AH50" s="314">
        <f>ROUNDDOWN(MAX(AH48:AH49),2)</f>
        <v>9.92</v>
      </c>
      <c r="AI50" s="314">
        <f>ROUNDDOWN(MAX(AI48:AI49),2)</f>
        <v>11.56</v>
      </c>
      <c r="AJ50" s="314">
        <f>ROUNDDOWN(MAX(AJ48:AJ49),2)</f>
        <v>11.28</v>
      </c>
      <c r="AK50" s="315">
        <f>ROUNDDOWN(MAX(AK48:AK49),2)</f>
        <v>12.43</v>
      </c>
      <c r="AL50" s="498"/>
      <c r="AM50" s="314"/>
      <c r="AN50" s="314"/>
      <c r="AO50" s="314"/>
      <c r="AP50" s="499"/>
    </row>
    <row r="51" spans="1:42" x14ac:dyDescent="0.15">
      <c r="C51" s="39" t="s">
        <v>309</v>
      </c>
      <c r="G51" s="39" t="s">
        <v>310</v>
      </c>
      <c r="K51" s="562" t="s">
        <v>311</v>
      </c>
      <c r="L51" s="8" t="s">
        <v>312</v>
      </c>
      <c r="M51" s="45" t="s">
        <v>126</v>
      </c>
      <c r="N51" s="327">
        <f>(N13+N14+N17)/N18</f>
        <v>125.1</v>
      </c>
      <c r="O51" s="328">
        <f>(O13+O14+O17)/O18</f>
        <v>226.7</v>
      </c>
      <c r="P51" s="328">
        <f>(P13+P14+P17)/P18</f>
        <v>146.13333333333333</v>
      </c>
      <c r="Q51" s="328">
        <f>(Q13+Q14+Q17)/Q18</f>
        <v>53.633333333333333</v>
      </c>
      <c r="R51" s="328"/>
      <c r="S51" s="328">
        <f>(S13+S14+S17)/S18</f>
        <v>81.599999999999994</v>
      </c>
      <c r="T51" s="328">
        <f>(T13+T14+T17)/T18</f>
        <v>59.6</v>
      </c>
      <c r="U51" s="328">
        <f>(U13+U14+U17)/U18</f>
        <v>60.6</v>
      </c>
      <c r="V51" s="328">
        <f>(V13+V14+V17)/V18</f>
        <v>82.6</v>
      </c>
      <c r="W51" s="328"/>
      <c r="X51" s="328">
        <f>(X13+X14+X17)/X18</f>
        <v>121.6</v>
      </c>
      <c r="Y51" s="328">
        <f>(Y13+Y14+Y17)/Y18</f>
        <v>122.76666666666667</v>
      </c>
      <c r="Z51" s="328">
        <f>(Z13+Z14+Z17)/Z18</f>
        <v>112.60000000000001</v>
      </c>
      <c r="AA51" s="328">
        <f>(AA13+AA14+AA17)/AA18</f>
        <v>136.35</v>
      </c>
      <c r="AB51" s="328"/>
      <c r="AC51" s="328">
        <f>(AC13+AC14+AC17)/AC18</f>
        <v>78.599999999999994</v>
      </c>
      <c r="AD51" s="328">
        <f>(AD13+AD14+AD17)/AD18</f>
        <v>57.6</v>
      </c>
      <c r="AE51" s="328">
        <f>(AE13+AE14+AE17)/AE18</f>
        <v>57.6</v>
      </c>
      <c r="AF51" s="328">
        <f>(AF13+AF14+AF17)/AF18</f>
        <v>78.599999999999994</v>
      </c>
      <c r="AG51" s="328"/>
      <c r="AH51" s="328">
        <f>(AH13+AH14+AH17)/AH18</f>
        <v>114.6</v>
      </c>
      <c r="AI51" s="328">
        <f>(AI13+AI14+AI17)/AI18</f>
        <v>131.93333333333334</v>
      </c>
      <c r="AJ51" s="328">
        <f>(AJ13+AJ14+AJ17)/AJ18</f>
        <v>128.93333333333334</v>
      </c>
      <c r="AK51" s="329">
        <f>(AK13+AK14+AK17)/AK18</f>
        <v>141.1</v>
      </c>
      <c r="AL51" s="513"/>
      <c r="AM51" s="328"/>
      <c r="AN51" s="328"/>
      <c r="AO51" s="328"/>
      <c r="AP51" s="514"/>
    </row>
    <row r="52" spans="1:42" ht="18" customHeight="1" x14ac:dyDescent="0.15">
      <c r="C52" s="39" t="s">
        <v>313</v>
      </c>
      <c r="G52" s="39" t="s">
        <v>314</v>
      </c>
      <c r="K52" s="563"/>
      <c r="L52" s="9" t="s">
        <v>315</v>
      </c>
      <c r="M52" s="46" t="s">
        <v>31</v>
      </c>
      <c r="N52" s="330">
        <f>(N51/N58)+N50/(2*N41/N29)</f>
        <v>270.71083847494026</v>
      </c>
      <c r="O52" s="331">
        <f>(O51/O58)+O50/(2*O41/O29)</f>
        <v>516.70462928125733</v>
      </c>
      <c r="P52" s="331">
        <f>(P51/P58)+P50/(2*P41/P29)</f>
        <v>332.59335104886304</v>
      </c>
      <c r="Q52" s="331">
        <f>(Q51/Q58)+Q50/(2*Q41/Q29)</f>
        <v>115.32889724249318</v>
      </c>
      <c r="R52" s="331"/>
      <c r="S52" s="331">
        <f>(S51/S58)+S50/(2*S41/S29)</f>
        <v>173.28410195243009</v>
      </c>
      <c r="T52" s="331">
        <f>(T51/T58)+T50/(2*T41/T29)</f>
        <v>124.04834217233815</v>
      </c>
      <c r="U52" s="331">
        <f>(U51/U58)+U50/(2*U41/U29)</f>
        <v>126.34198988033862</v>
      </c>
      <c r="V52" s="331">
        <f>(V51/V58)+V50/(2*V41/V29)</f>
        <v>175.57774966043058</v>
      </c>
      <c r="W52" s="331"/>
      <c r="X52" s="331">
        <f>(X51/X58)+X50/(2*X41/X29)</f>
        <v>277.8871531295917</v>
      </c>
      <c r="Y52" s="331">
        <f>(Y51/Y58)+Y50/(2*Y41/Y29)</f>
        <v>280.69912987736097</v>
      </c>
      <c r="Z52" s="331">
        <f>(Z51/Z58)+Z50/(2*Z41/Z29)</f>
        <v>256.53003804330177</v>
      </c>
      <c r="AA52" s="331">
        <f>(AA51/AA58)+AA50/(2*AA41/AA29)</f>
        <v>312.89192621035374</v>
      </c>
      <c r="AB52" s="331"/>
      <c r="AC52" s="331">
        <f>(AC51/AC58)+AC50/(2*AC41/AC29)</f>
        <v>166.60724046108174</v>
      </c>
      <c r="AD52" s="331">
        <f>(AD51/AD58)+AD50/(2*AD41/AD29)</f>
        <v>119.66512838899027</v>
      </c>
      <c r="AE52" s="331">
        <f>(AE51/AE58)+AE50/(2*AE41/AE29)</f>
        <v>119.66512838899027</v>
      </c>
      <c r="AF52" s="331">
        <f>(AF51/AF58)+AF50/(2*AF41/AF29)</f>
        <v>166.60724046108174</v>
      </c>
      <c r="AG52" s="331"/>
      <c r="AH52" s="331">
        <f>(AH51/AH58)+AH50/(2*AH41/AH29)</f>
        <v>247.137741622568</v>
      </c>
      <c r="AI52" s="331">
        <f>(AI51/AI58)+AI50/(2*AI41/AI29)</f>
        <v>285.94192094219517</v>
      </c>
      <c r="AJ52" s="331">
        <f>(AJ51/AJ58)+AJ50/(2*AJ41/AJ29)</f>
        <v>279.26505945084682</v>
      </c>
      <c r="AK52" s="332">
        <f>(AK51/AK58)+AK50/(2*AK41/AK29)</f>
        <v>306.490834456009</v>
      </c>
      <c r="AL52" s="515"/>
      <c r="AM52" s="331"/>
      <c r="AN52" s="331"/>
      <c r="AO52" s="331"/>
      <c r="AP52" s="516"/>
    </row>
    <row r="53" spans="1:42" x14ac:dyDescent="0.15">
      <c r="C53" s="39" t="s">
        <v>316</v>
      </c>
      <c r="K53" s="563"/>
      <c r="L53" s="9" t="s">
        <v>159</v>
      </c>
      <c r="M53" s="46" t="s">
        <v>31</v>
      </c>
      <c r="N53" s="330">
        <f>2/3*N39</f>
        <v>466.66666666666663</v>
      </c>
      <c r="O53" s="331">
        <f>2/3*O39</f>
        <v>466.66666666666663</v>
      </c>
      <c r="P53" s="331">
        <f>2/3*P39</f>
        <v>466.66666666666663</v>
      </c>
      <c r="Q53" s="331">
        <f>2/3*Q39</f>
        <v>466.66666666666663</v>
      </c>
      <c r="R53" s="331"/>
      <c r="S53" s="331">
        <f>2/3*S39</f>
        <v>466.66666666666663</v>
      </c>
      <c r="T53" s="331">
        <f>2/3*T39</f>
        <v>466.66666666666663</v>
      </c>
      <c r="U53" s="331">
        <f>2/3*U39</f>
        <v>466.66666666666663</v>
      </c>
      <c r="V53" s="331">
        <f>2/3*V39</f>
        <v>466.66666666666663</v>
      </c>
      <c r="W53" s="331"/>
      <c r="X53" s="331">
        <f>2/3*X39</f>
        <v>466.66666666666663</v>
      </c>
      <c r="Y53" s="331">
        <f>2/3*Y39</f>
        <v>466.66666666666663</v>
      </c>
      <c r="Z53" s="331">
        <f>2/3*Z39</f>
        <v>466.66666666666663</v>
      </c>
      <c r="AA53" s="331">
        <f>2/3*AA39</f>
        <v>466.66666666666663</v>
      </c>
      <c r="AB53" s="331"/>
      <c r="AC53" s="331">
        <f>2/3*AC39</f>
        <v>466.66666666666663</v>
      </c>
      <c r="AD53" s="331">
        <f>2/3*AD39</f>
        <v>466.66666666666663</v>
      </c>
      <c r="AE53" s="331">
        <f>2/3*AE39</f>
        <v>466.66666666666663</v>
      </c>
      <c r="AF53" s="331">
        <f>2/3*AF39</f>
        <v>466.66666666666663</v>
      </c>
      <c r="AG53" s="331"/>
      <c r="AH53" s="331">
        <f>2/3*AH39</f>
        <v>466.66666666666663</v>
      </c>
      <c r="AI53" s="331">
        <f>2/3*AI39</f>
        <v>466.66666666666663</v>
      </c>
      <c r="AJ53" s="331">
        <f>2/3*AJ39</f>
        <v>466.66666666666663</v>
      </c>
      <c r="AK53" s="332">
        <f>2/3*AK39</f>
        <v>466.66666666666663</v>
      </c>
      <c r="AL53" s="515"/>
      <c r="AM53" s="331"/>
      <c r="AN53" s="331"/>
      <c r="AO53" s="331"/>
      <c r="AP53" s="516"/>
    </row>
    <row r="54" spans="1:42" x14ac:dyDescent="0.15">
      <c r="C54" s="39" t="s">
        <v>317</v>
      </c>
      <c r="E54" s="28">
        <v>0</v>
      </c>
      <c r="F54" s="87" t="s">
        <v>318</v>
      </c>
      <c r="K54" s="563"/>
      <c r="L54" s="9" t="s">
        <v>319</v>
      </c>
      <c r="M54" s="49"/>
      <c r="N54" s="333" t="str">
        <f>IF(N53&gt;N52,"OK","NG")</f>
        <v>OK</v>
      </c>
      <c r="O54" s="334" t="str">
        <f>IF(O53&gt;O52,"OK","NG")</f>
        <v>NG</v>
      </c>
      <c r="P54" s="334" t="str">
        <f>IF(P53&gt;P52,"OK","NG")</f>
        <v>OK</v>
      </c>
      <c r="Q54" s="334" t="str">
        <f>IF(Q53&gt;Q52,"OK","NG")</f>
        <v>OK</v>
      </c>
      <c r="R54" s="334"/>
      <c r="S54" s="334" t="str">
        <f>IF(S53&gt;S52,"OK","NG")</f>
        <v>OK</v>
      </c>
      <c r="T54" s="334" t="str">
        <f>IF(T53&gt;T52,"OK","NG")</f>
        <v>OK</v>
      </c>
      <c r="U54" s="334" t="str">
        <f>IF(U53&gt;U52,"OK","NG")</f>
        <v>OK</v>
      </c>
      <c r="V54" s="334" t="str">
        <f>IF(V53&gt;V52,"OK","NG")</f>
        <v>OK</v>
      </c>
      <c r="W54" s="334"/>
      <c r="X54" s="334" t="str">
        <f>IF(X53&gt;X52,"OK","NG")</f>
        <v>OK</v>
      </c>
      <c r="Y54" s="334" t="str">
        <f>IF(Y53&gt;Y52,"OK","NG")</f>
        <v>OK</v>
      </c>
      <c r="Z54" s="334" t="str">
        <f>IF(Z53&gt;Z52,"OK","NG")</f>
        <v>OK</v>
      </c>
      <c r="AA54" s="334" t="str">
        <f>IF(AA53&gt;AA52,"OK","NG")</f>
        <v>OK</v>
      </c>
      <c r="AB54" s="334"/>
      <c r="AC54" s="334" t="str">
        <f>IF(AC53&gt;AC52,"OK","NG")</f>
        <v>OK</v>
      </c>
      <c r="AD54" s="334" t="str">
        <f>IF(AD53&gt;AD52,"OK","NG")</f>
        <v>OK</v>
      </c>
      <c r="AE54" s="334" t="str">
        <f>IF(AE53&gt;AE52,"OK","NG")</f>
        <v>OK</v>
      </c>
      <c r="AF54" s="334" t="str">
        <f>IF(AF53&gt;AF52,"OK","NG")</f>
        <v>OK</v>
      </c>
      <c r="AG54" s="334"/>
      <c r="AH54" s="334" t="str">
        <f>IF(AH53&gt;AH52,"OK","NG")</f>
        <v>OK</v>
      </c>
      <c r="AI54" s="334" t="str">
        <f>IF(AI53&gt;AI52,"OK","NG")</f>
        <v>OK</v>
      </c>
      <c r="AJ54" s="334" t="str">
        <f>IF(AJ53&gt;AJ52,"OK","NG")</f>
        <v>OK</v>
      </c>
      <c r="AK54" s="335" t="str">
        <f>IF(AK53&gt;AK52,"OK","NG")</f>
        <v>OK</v>
      </c>
      <c r="AL54" s="517"/>
      <c r="AM54" s="334"/>
      <c r="AN54" s="334"/>
      <c r="AO54" s="334"/>
      <c r="AP54" s="518"/>
    </row>
    <row r="55" spans="1:42" x14ac:dyDescent="0.15">
      <c r="K55" s="563"/>
      <c r="L55" s="9" t="s">
        <v>320</v>
      </c>
      <c r="M55" s="46" t="s">
        <v>31</v>
      </c>
      <c r="N55" s="330">
        <f>(N51/N58)-N50/(2*N41/N29)</f>
        <v>47.853695617797413</v>
      </c>
      <c r="O55" s="331">
        <f>(O51/O58)-O50/(2*O41/O29)</f>
        <v>60.582180301665431</v>
      </c>
      <c r="P55" s="331">
        <f>(P51/P58)-P50/(2*P41/P29)</f>
        <v>39.532126559067166</v>
      </c>
      <c r="Q55" s="331">
        <f>(Q51/Q58)-Q50/(2*Q41/Q29)</f>
        <v>21.24726458943195</v>
      </c>
      <c r="R55" s="331"/>
      <c r="S55" s="331">
        <f>(S51/S58)-S50/(2*S41/S29)</f>
        <v>34.508591748348465</v>
      </c>
      <c r="T55" s="331">
        <f>(T51/T58)-T50/(2*T41/T29)</f>
        <v>27.721811560093251</v>
      </c>
      <c r="U55" s="331">
        <f>(U51/U58)-U50/(2*U41/U29)</f>
        <v>27.974642941563104</v>
      </c>
      <c r="V55" s="331">
        <f>(V51/V58)-V50/(2*V41/V29)</f>
        <v>34.761423129818311</v>
      </c>
      <c r="W55" s="331"/>
      <c r="X55" s="331">
        <f>(X51/X58)-X50/(2*X41/X29)</f>
        <v>31.764704149999872</v>
      </c>
      <c r="Y55" s="331">
        <f>(Y51/Y58)-Y50/(2*Y41/Y29)</f>
        <v>31.923619673279319</v>
      </c>
      <c r="Z55" s="331">
        <f>(Z51/Z58)-Z50/(2*Z41/Z29)</f>
        <v>30.203507431056892</v>
      </c>
      <c r="AA55" s="331">
        <f>(AA51/AA58)-AA50/(2*AA41/AA29)</f>
        <v>34.320497638925161</v>
      </c>
      <c r="AB55" s="331"/>
      <c r="AC55" s="331">
        <f>(AC51/AC58)-AC50/(2*AC41/AC29)</f>
        <v>33.546015971285826</v>
      </c>
      <c r="AD55" s="331">
        <f>(AD51/AD58)-AD50/(2*AD41/AD29)</f>
        <v>27.012067164500479</v>
      </c>
      <c r="AE55" s="331">
        <f>(AE51/AE58)-AE50/(2*AE41/AE29)</f>
        <v>27.012067164500479</v>
      </c>
      <c r="AF55" s="331">
        <f>(AF51/AF58)-AF50/(2*AF41/AF29)</f>
        <v>33.546015971285826</v>
      </c>
      <c r="AG55" s="331"/>
      <c r="AH55" s="331">
        <f>(AH51/AH58)-AH50/(2*AH41/AH29)</f>
        <v>44.688762030731297</v>
      </c>
      <c r="AI55" s="331">
        <f>(AI51/AI58)-AI50/(2*AI41/AI29)</f>
        <v>50.023553595256416</v>
      </c>
      <c r="AJ55" s="331">
        <f>(AJ51/AJ58)-AJ50/(2*AJ41/AJ29)</f>
        <v>49.060977818193791</v>
      </c>
      <c r="AK55" s="332">
        <f>(AK51/AK58)-AK50/(2*AK41/AK29)</f>
        <v>52.81736506825392</v>
      </c>
      <c r="AL55" s="515"/>
      <c r="AM55" s="331"/>
      <c r="AN55" s="331"/>
      <c r="AO55" s="331"/>
      <c r="AP55" s="516"/>
    </row>
    <row r="56" spans="1:42" ht="15.75" customHeight="1" x14ac:dyDescent="0.15">
      <c r="A56" s="39" t="s">
        <v>321</v>
      </c>
      <c r="K56" s="563"/>
      <c r="L56" s="9" t="s">
        <v>322</v>
      </c>
      <c r="M56" s="46" t="s">
        <v>31</v>
      </c>
      <c r="N56" s="330">
        <f>-0.2*N53</f>
        <v>-93.333333333333329</v>
      </c>
      <c r="O56" s="331">
        <f>-0.2*O53</f>
        <v>-93.333333333333329</v>
      </c>
      <c r="P56" s="331">
        <f>-0.2*P53</f>
        <v>-93.333333333333329</v>
      </c>
      <c r="Q56" s="331">
        <f>-0.2*Q53</f>
        <v>-93.333333333333329</v>
      </c>
      <c r="R56" s="331"/>
      <c r="S56" s="331">
        <f>-0.2*S53</f>
        <v>-93.333333333333329</v>
      </c>
      <c r="T56" s="331">
        <f>-0.2*T53</f>
        <v>-93.333333333333329</v>
      </c>
      <c r="U56" s="331">
        <f>-0.2*U53</f>
        <v>-93.333333333333329</v>
      </c>
      <c r="V56" s="331">
        <f>-0.2*V53</f>
        <v>-93.333333333333329</v>
      </c>
      <c r="W56" s="331"/>
      <c r="X56" s="331">
        <f>-0.2*X53</f>
        <v>-93.333333333333329</v>
      </c>
      <c r="Y56" s="331">
        <f>-0.2*Y53</f>
        <v>-93.333333333333329</v>
      </c>
      <c r="Z56" s="331">
        <f>-0.2*Z53</f>
        <v>-93.333333333333329</v>
      </c>
      <c r="AA56" s="331">
        <f>-0.2*AA53</f>
        <v>-93.333333333333329</v>
      </c>
      <c r="AB56" s="331"/>
      <c r="AC56" s="331">
        <f>-0.2*AC53</f>
        <v>-93.333333333333329</v>
      </c>
      <c r="AD56" s="331">
        <f>-0.2*AD53</f>
        <v>-93.333333333333329</v>
      </c>
      <c r="AE56" s="331">
        <f>-0.2*AE53</f>
        <v>-93.333333333333329</v>
      </c>
      <c r="AF56" s="331">
        <f>-0.2*AF53</f>
        <v>-93.333333333333329</v>
      </c>
      <c r="AG56" s="331"/>
      <c r="AH56" s="331">
        <f>-0.2*AH53</f>
        <v>-93.333333333333329</v>
      </c>
      <c r="AI56" s="331">
        <f>-0.2*AI53</f>
        <v>-93.333333333333329</v>
      </c>
      <c r="AJ56" s="331">
        <f>-0.2*AJ53</f>
        <v>-93.333333333333329</v>
      </c>
      <c r="AK56" s="332">
        <f>-0.2*AK53</f>
        <v>-93.333333333333329</v>
      </c>
      <c r="AL56" s="515"/>
      <c r="AM56" s="331"/>
      <c r="AN56" s="331"/>
      <c r="AO56" s="331"/>
      <c r="AP56" s="516"/>
    </row>
    <row r="57" spans="1:42" x14ac:dyDescent="0.15">
      <c r="B57" s="39" t="s">
        <v>323</v>
      </c>
      <c r="F57" s="39" t="s">
        <v>310</v>
      </c>
      <c r="K57" s="564"/>
      <c r="L57" s="10" t="s">
        <v>324</v>
      </c>
      <c r="M57" s="51"/>
      <c r="N57" s="336" t="str">
        <f>IF(N55&gt;N56,"OK","NG")</f>
        <v>OK</v>
      </c>
      <c r="O57" s="337" t="str">
        <f>IF(O55&gt;O56,"OK","NG")</f>
        <v>OK</v>
      </c>
      <c r="P57" s="337" t="str">
        <f>IF(P55&gt;P56,"OK","NG")</f>
        <v>OK</v>
      </c>
      <c r="Q57" s="337" t="str">
        <f>IF(Q55&gt;Q56,"OK","NG")</f>
        <v>OK</v>
      </c>
      <c r="R57" s="337"/>
      <c r="S57" s="337" t="str">
        <f>IF(S55&gt;S56,"OK","NG")</f>
        <v>OK</v>
      </c>
      <c r="T57" s="337" t="str">
        <f>IF(T55&gt;T56,"OK","NG")</f>
        <v>OK</v>
      </c>
      <c r="U57" s="337" t="str">
        <f>IF(U55&gt;U56,"OK","NG")</f>
        <v>OK</v>
      </c>
      <c r="V57" s="337" t="str">
        <f>IF(V55&gt;V56,"OK","NG")</f>
        <v>OK</v>
      </c>
      <c r="W57" s="337"/>
      <c r="X57" s="337" t="str">
        <f>IF(X55&gt;X56,"OK","NG")</f>
        <v>OK</v>
      </c>
      <c r="Y57" s="337" t="str">
        <f>IF(Y55&gt;Y56,"OK","NG")</f>
        <v>OK</v>
      </c>
      <c r="Z57" s="337" t="str">
        <f>IF(Z55&gt;Z56,"OK","NG")</f>
        <v>OK</v>
      </c>
      <c r="AA57" s="337" t="str">
        <f>IF(AA55&gt;AA56,"OK","NG")</f>
        <v>OK</v>
      </c>
      <c r="AB57" s="337"/>
      <c r="AC57" s="337" t="str">
        <f>IF(AC55&gt;AC56,"OK","NG")</f>
        <v>OK</v>
      </c>
      <c r="AD57" s="337" t="str">
        <f>IF(AD55&gt;AD56,"OK","NG")</f>
        <v>OK</v>
      </c>
      <c r="AE57" s="337" t="str">
        <f>IF(AE55&gt;AE56,"OK","NG")</f>
        <v>OK</v>
      </c>
      <c r="AF57" s="337" t="str">
        <f>IF(AF55&gt;AF56,"OK","NG")</f>
        <v>OK</v>
      </c>
      <c r="AG57" s="337"/>
      <c r="AH57" s="337" t="str">
        <f>IF(AH55&gt;AH56,"OK","NG")</f>
        <v>OK</v>
      </c>
      <c r="AI57" s="337" t="str">
        <f>IF(AI55&gt;AI56,"OK","NG")</f>
        <v>OK</v>
      </c>
      <c r="AJ57" s="337" t="str">
        <f>IF(AJ55&gt;AJ56,"OK","NG")</f>
        <v>OK</v>
      </c>
      <c r="AK57" s="338" t="str">
        <f>IF(AK55&gt;AK56,"OK","NG")</f>
        <v>OK</v>
      </c>
      <c r="AL57" s="519"/>
      <c r="AM57" s="337"/>
      <c r="AN57" s="337"/>
      <c r="AO57" s="337"/>
      <c r="AP57" s="520"/>
    </row>
    <row r="58" spans="1:42" x14ac:dyDescent="0.15">
      <c r="B58" s="39" t="s">
        <v>325</v>
      </c>
      <c r="F58" s="39" t="s">
        <v>310</v>
      </c>
      <c r="K58" s="562" t="s">
        <v>326</v>
      </c>
      <c r="L58" s="8" t="s">
        <v>65</v>
      </c>
      <c r="M58" s="45" t="s">
        <v>66</v>
      </c>
      <c r="N58" s="339">
        <f>(N28/2)^2*PI()</f>
        <v>0.78539816339744828</v>
      </c>
      <c r="O58" s="340">
        <f>(O28/2)^2*PI()</f>
        <v>0.78539816339744828</v>
      </c>
      <c r="P58" s="340">
        <f>(P28/2)^2*PI()</f>
        <v>0.78539816339744828</v>
      </c>
      <c r="Q58" s="340">
        <f>(Q28/2)^2*PI()</f>
        <v>0.78539816339744828</v>
      </c>
      <c r="R58" s="340"/>
      <c r="S58" s="340">
        <f>(S28/2)^2*PI()</f>
        <v>0.78539816339744828</v>
      </c>
      <c r="T58" s="340">
        <f>(T28/2)^2*PI()</f>
        <v>0.78539816339744828</v>
      </c>
      <c r="U58" s="340">
        <f>(U28/2)^2*PI()</f>
        <v>0.78539816339744828</v>
      </c>
      <c r="V58" s="340">
        <f>(V28/2)^2*PI()</f>
        <v>0.78539816339744828</v>
      </c>
      <c r="W58" s="340"/>
      <c r="X58" s="340">
        <f>(X28/2)^2*PI()</f>
        <v>0.78539816339744828</v>
      </c>
      <c r="Y58" s="340">
        <f>(Y28/2)^2*PI()</f>
        <v>0.78539816339744828</v>
      </c>
      <c r="Z58" s="340">
        <f>(Z28/2)^2*PI()</f>
        <v>0.78539816339744828</v>
      </c>
      <c r="AA58" s="340">
        <f>(AA28/2)^2*PI()</f>
        <v>0.78539816339744828</v>
      </c>
      <c r="AB58" s="340"/>
      <c r="AC58" s="340">
        <f>(AC28/2)^2*PI()</f>
        <v>0.78539816339744828</v>
      </c>
      <c r="AD58" s="340">
        <f>(AD28/2)^2*PI()</f>
        <v>0.78539816339744828</v>
      </c>
      <c r="AE58" s="340">
        <f>(AE28/2)^2*PI()</f>
        <v>0.78539816339744828</v>
      </c>
      <c r="AF58" s="340">
        <f>(AF28/2)^2*PI()</f>
        <v>0.78539816339744828</v>
      </c>
      <c r="AG58" s="340"/>
      <c r="AH58" s="340">
        <f>(AH28/2)^2*PI()</f>
        <v>0.78539816339744828</v>
      </c>
      <c r="AI58" s="340">
        <f>(AI28/2)^2*PI()</f>
        <v>0.78539816339744828</v>
      </c>
      <c r="AJ58" s="340">
        <f>(AJ28/2)^2*PI()</f>
        <v>0.78539816339744828</v>
      </c>
      <c r="AK58" s="341">
        <f>(AK28/2)^2*PI()</f>
        <v>0.78539816339744828</v>
      </c>
      <c r="AL58" s="521"/>
      <c r="AM58" s="340"/>
      <c r="AN58" s="340"/>
      <c r="AO58" s="340"/>
      <c r="AP58" s="522"/>
    </row>
    <row r="59" spans="1:42" x14ac:dyDescent="0.15">
      <c r="C59" s="39" t="s">
        <v>327</v>
      </c>
      <c r="F59" s="39" t="s">
        <v>328</v>
      </c>
      <c r="K59" s="563"/>
      <c r="L59" s="9" t="s">
        <v>329</v>
      </c>
      <c r="M59" s="46" t="s">
        <v>31</v>
      </c>
      <c r="N59" s="330">
        <f>N22/N58</f>
        <v>21.126129362315233</v>
      </c>
      <c r="O59" s="331">
        <f>O22/O58</f>
        <v>37.955057482294215</v>
      </c>
      <c r="P59" s="331">
        <f>P22/P58</f>
        <v>24.38907351819552</v>
      </c>
      <c r="Q59" s="331">
        <f>Q22/Q58</f>
        <v>8.9325663374342863</v>
      </c>
      <c r="R59" s="331"/>
      <c r="S59" s="331">
        <f>S22/S58</f>
        <v>13.171735573309823</v>
      </c>
      <c r="T59" s="331">
        <f>T22/T58</f>
        <v>9.1488237719737544</v>
      </c>
      <c r="U59" s="331">
        <f>U22/U58</f>
        <v>9.3316833993072112</v>
      </c>
      <c r="V59" s="331">
        <f>V22/V58</f>
        <v>13.35459520064328</v>
      </c>
      <c r="W59" s="331"/>
      <c r="X59" s="331">
        <f>X22/X58</f>
        <v>20.486120666648134</v>
      </c>
      <c r="Y59" s="331">
        <f>Y22/Y58</f>
        <v>20.699456898537168</v>
      </c>
      <c r="Z59" s="331">
        <f>Z22/Z58</f>
        <v>18.840384020647011</v>
      </c>
      <c r="AA59" s="331">
        <f>AA22/AA58</f>
        <v>23.183300169816636</v>
      </c>
      <c r="AB59" s="331"/>
      <c r="AC59" s="331">
        <f>AC22/AC58</f>
        <v>12.62315669130945</v>
      </c>
      <c r="AD59" s="331">
        <f>AD22/AD58</f>
        <v>8.7831045173068389</v>
      </c>
      <c r="AE59" s="331">
        <f>AE22/AE58</f>
        <v>8.7831045173068389</v>
      </c>
      <c r="AF59" s="331">
        <f>AF22/AF58</f>
        <v>12.62315669130945</v>
      </c>
      <c r="AG59" s="331"/>
      <c r="AH59" s="331">
        <f>AH22/AH58</f>
        <v>19.206103275313929</v>
      </c>
      <c r="AI59" s="331">
        <f>AI22/AI58</f>
        <v>22.37567014909386</v>
      </c>
      <c r="AJ59" s="331">
        <f>AJ22/AJ58</f>
        <v>21.82709126709349</v>
      </c>
      <c r="AK59" s="332">
        <f>AK22/AK58</f>
        <v>24.051883399650563</v>
      </c>
      <c r="AL59" s="515"/>
      <c r="AM59" s="331"/>
      <c r="AN59" s="331"/>
      <c r="AO59" s="331"/>
      <c r="AP59" s="516"/>
    </row>
    <row r="60" spans="1:42" x14ac:dyDescent="0.15">
      <c r="C60" s="39" t="s">
        <v>330</v>
      </c>
      <c r="K60" s="563"/>
      <c r="L60" s="9" t="s">
        <v>331</v>
      </c>
      <c r="M60" s="46" t="s">
        <v>31</v>
      </c>
      <c r="N60" s="330">
        <f>MIN((0.3*N39+N59*TAN(30*PI()/180)),0.5*N39)</f>
        <v>222.19717647426756</v>
      </c>
      <c r="O60" s="331">
        <f>MIN((0.3*O39+O59*TAN(30*PI()/180)),0.5*O39)</f>
        <v>231.91336265451028</v>
      </c>
      <c r="P60" s="331">
        <f>MIN((0.3*P39+P59*TAN(30*PI()/180)),0.5*P39)</f>
        <v>224.08103816101575</v>
      </c>
      <c r="Q60" s="331">
        <f>MIN((0.3*Q39+Q59*TAN(30*PI()/180)),0.5*Q39)</f>
        <v>215.15721957947187</v>
      </c>
      <c r="R60" s="331"/>
      <c r="S60" s="331">
        <f>MIN((0.3*S39+S59*TAN(30*PI()/180)),0.5*S39)</f>
        <v>217.60470507894499</v>
      </c>
      <c r="T60" s="331">
        <f>MIN((0.3*T39+T59*TAN(30*PI()/180)),0.5*T39)</f>
        <v>215.28207586751751</v>
      </c>
      <c r="U60" s="331">
        <f>MIN((0.3*U39+U59*TAN(30*PI()/180)),0.5*U39)</f>
        <v>215.38764992258237</v>
      </c>
      <c r="V60" s="331">
        <f>MIN((0.3*V39+V59*TAN(30*PI()/180)),0.5*V39)</f>
        <v>217.71027913400988</v>
      </c>
      <c r="W60" s="331"/>
      <c r="X60" s="331">
        <f>MIN((0.3*X39+X59*TAN(30*PI()/180)),0.5*X39)</f>
        <v>221.82766728154044</v>
      </c>
      <c r="Y60" s="331">
        <f>MIN((0.3*Y39+Y59*TAN(30*PI()/180)),0.5*Y39)</f>
        <v>221.95083701244948</v>
      </c>
      <c r="Z60" s="331">
        <f>MIN((0.3*Z39+Z59*TAN(30*PI()/180)),0.5*Z39)</f>
        <v>220.87750078595647</v>
      </c>
      <c r="AA60" s="331">
        <f>MIN((0.3*AA39+AA59*TAN(30*PI()/180)),0.5*AA39)</f>
        <v>223.38488459374753</v>
      </c>
      <c r="AB60" s="331"/>
      <c r="AC60" s="331">
        <f>MIN((0.3*AC39+AC59*TAN(30*PI()/180)),0.5*AC39)</f>
        <v>217.28798291375034</v>
      </c>
      <c r="AD60" s="331">
        <f>MIN((0.3*AD39+AD59*TAN(30*PI()/180)),0.5*AD39)</f>
        <v>215.07092775738772</v>
      </c>
      <c r="AE60" s="331">
        <f>MIN((0.3*AE39+AE59*TAN(30*PI()/180)),0.5*AE39)</f>
        <v>215.07092775738772</v>
      </c>
      <c r="AF60" s="331">
        <f>MIN((0.3*AF39+AF59*TAN(30*PI()/180)),0.5*AF39)</f>
        <v>217.28798291375034</v>
      </c>
      <c r="AG60" s="331"/>
      <c r="AH60" s="331">
        <f>MIN((0.3*AH39+AH59*TAN(30*PI()/180)),0.5*AH39)</f>
        <v>221.08864889608626</v>
      </c>
      <c r="AI60" s="331">
        <f>MIN((0.3*AI39+AI59*TAN(30*PI()/180)),0.5*AI39)</f>
        <v>222.9185991838776</v>
      </c>
      <c r="AJ60" s="331">
        <f>MIN((0.3*AJ39+AJ59*TAN(30*PI()/180)),0.5*AJ39)</f>
        <v>222.60187701868296</v>
      </c>
      <c r="AK60" s="332">
        <f>MIN((0.3*AK39+AK59*TAN(30*PI()/180)),0.5*AK39)</f>
        <v>223.88636135530575</v>
      </c>
      <c r="AL60" s="515"/>
      <c r="AM60" s="331"/>
      <c r="AN60" s="331"/>
      <c r="AO60" s="331"/>
      <c r="AP60" s="516"/>
    </row>
    <row r="61" spans="1:42" x14ac:dyDescent="0.15">
      <c r="C61" s="39" t="s">
        <v>332</v>
      </c>
      <c r="K61" s="563"/>
      <c r="L61" s="9" t="s">
        <v>333</v>
      </c>
      <c r="M61" s="46" t="s">
        <v>31</v>
      </c>
      <c r="N61" s="330">
        <f>2/3*N60</f>
        <v>148.13145098284502</v>
      </c>
      <c r="O61" s="331">
        <f>2/3*O60</f>
        <v>154.60890843634019</v>
      </c>
      <c r="P61" s="331">
        <f>2/3*P60</f>
        <v>149.38735877401049</v>
      </c>
      <c r="Q61" s="331">
        <f>2/3*Q60</f>
        <v>143.43814638631457</v>
      </c>
      <c r="R61" s="331"/>
      <c r="S61" s="331">
        <f>2/3*S60</f>
        <v>145.06980338596333</v>
      </c>
      <c r="T61" s="331">
        <f>2/3*T60</f>
        <v>143.52138391167833</v>
      </c>
      <c r="U61" s="331">
        <f>2/3*U60</f>
        <v>143.59176661505489</v>
      </c>
      <c r="V61" s="331">
        <f>2/3*V60</f>
        <v>145.14018608933992</v>
      </c>
      <c r="W61" s="331"/>
      <c r="X61" s="331">
        <f>2/3*X60</f>
        <v>147.88511152102694</v>
      </c>
      <c r="Y61" s="331">
        <f>2/3*Y60</f>
        <v>147.9672246749663</v>
      </c>
      <c r="Z61" s="331">
        <f>2/3*Z60</f>
        <v>147.25166719063765</v>
      </c>
      <c r="AA61" s="331">
        <f>2/3*AA60</f>
        <v>148.92325639583169</v>
      </c>
      <c r="AB61" s="331"/>
      <c r="AC61" s="331">
        <f>2/3*AC60</f>
        <v>144.85865527583354</v>
      </c>
      <c r="AD61" s="331">
        <f>2/3*AD60</f>
        <v>143.38061850492514</v>
      </c>
      <c r="AE61" s="331">
        <f>2/3*AE60</f>
        <v>143.38061850492514</v>
      </c>
      <c r="AF61" s="331">
        <f>2/3*AF60</f>
        <v>144.85865527583354</v>
      </c>
      <c r="AG61" s="331"/>
      <c r="AH61" s="331">
        <f>2/3*AH60</f>
        <v>147.39243259739084</v>
      </c>
      <c r="AI61" s="331">
        <f>2/3*AI60</f>
        <v>148.61239945591839</v>
      </c>
      <c r="AJ61" s="331">
        <f>2/3*AJ60</f>
        <v>148.40125134578864</v>
      </c>
      <c r="AK61" s="332">
        <f>2/3*AK60</f>
        <v>149.25757423687048</v>
      </c>
      <c r="AL61" s="515"/>
      <c r="AM61" s="331"/>
      <c r="AN61" s="331"/>
      <c r="AO61" s="331"/>
      <c r="AP61" s="516"/>
    </row>
    <row r="62" spans="1:42" x14ac:dyDescent="0.15">
      <c r="K62" s="563"/>
      <c r="L62" s="9" t="s">
        <v>334</v>
      </c>
      <c r="M62" s="46" t="s">
        <v>31</v>
      </c>
      <c r="N62" s="330">
        <f>4/3*(N22/N58)</f>
        <v>28.168172483086977</v>
      </c>
      <c r="O62" s="331">
        <f>4/3*(O22/O58)</f>
        <v>50.606743309725616</v>
      </c>
      <c r="P62" s="331">
        <f>4/3*(P22/P58)</f>
        <v>32.518764690927355</v>
      </c>
      <c r="Q62" s="331">
        <f>4/3*(Q22/Q58)</f>
        <v>11.910088449912381</v>
      </c>
      <c r="R62" s="331"/>
      <c r="S62" s="331">
        <f>4/3*(S22/S58)</f>
        <v>17.56231409774643</v>
      </c>
      <c r="T62" s="331">
        <f>4/3*(T22/T58)</f>
        <v>12.198431695965006</v>
      </c>
      <c r="U62" s="331">
        <f>4/3*(U22/U58)</f>
        <v>12.442244532409614</v>
      </c>
      <c r="V62" s="331">
        <f>4/3*(V22/V58)</f>
        <v>17.806126934191038</v>
      </c>
      <c r="W62" s="331"/>
      <c r="X62" s="331">
        <f>4/3*(X22/X58)</f>
        <v>27.314827555530844</v>
      </c>
      <c r="Y62" s="331">
        <f>4/3*(Y22/Y58)</f>
        <v>27.599275864716223</v>
      </c>
      <c r="Z62" s="331">
        <f>4/3*(Z22/Z58)</f>
        <v>25.120512027529347</v>
      </c>
      <c r="AA62" s="331">
        <f>4/3*(AA22/AA58)</f>
        <v>30.911066893088847</v>
      </c>
      <c r="AB62" s="331"/>
      <c r="AC62" s="331">
        <f>4/3*(AC22/AC58)</f>
        <v>16.830875588412599</v>
      </c>
      <c r="AD62" s="331">
        <f>4/3*(AD22/AD58)</f>
        <v>11.710806023075785</v>
      </c>
      <c r="AE62" s="331">
        <f>4/3*(AE22/AE58)</f>
        <v>11.710806023075785</v>
      </c>
      <c r="AF62" s="331">
        <f>4/3*(AF22/AF58)</f>
        <v>16.830875588412599</v>
      </c>
      <c r="AG62" s="331"/>
      <c r="AH62" s="331">
        <f>4/3*(AH22/AH58)</f>
        <v>25.60813770041857</v>
      </c>
      <c r="AI62" s="331">
        <f>4/3*(AI22/AI58)</f>
        <v>29.834226865458479</v>
      </c>
      <c r="AJ62" s="331">
        <f>4/3*(AJ22/AJ58)</f>
        <v>29.102788356124652</v>
      </c>
      <c r="AK62" s="332">
        <f>4/3*(AK22/AK58)</f>
        <v>32.069177866200747</v>
      </c>
      <c r="AL62" s="515"/>
      <c r="AM62" s="331"/>
      <c r="AN62" s="331"/>
      <c r="AO62" s="331"/>
      <c r="AP62" s="516"/>
    </row>
    <row r="63" spans="1:42" x14ac:dyDescent="0.15">
      <c r="A63" s="39" t="s">
        <v>335</v>
      </c>
      <c r="K63" s="564"/>
      <c r="L63" s="10" t="s">
        <v>336</v>
      </c>
      <c r="M63" s="51"/>
      <c r="N63" s="336" t="str">
        <f>IF(N61&gt;N62,"OK","NG")</f>
        <v>OK</v>
      </c>
      <c r="O63" s="337" t="str">
        <f>IF(O61&gt;O62,"OK","NG")</f>
        <v>OK</v>
      </c>
      <c r="P63" s="337" t="str">
        <f>IF(P61&gt;P62,"OK","NG")</f>
        <v>OK</v>
      </c>
      <c r="Q63" s="337" t="str">
        <f>IF(Q61&gt;Q62,"OK","NG")</f>
        <v>OK</v>
      </c>
      <c r="R63" s="337"/>
      <c r="S63" s="337" t="str">
        <f>IF(S61&gt;S62,"OK","NG")</f>
        <v>OK</v>
      </c>
      <c r="T63" s="337" t="str">
        <f>IF(T61&gt;T62,"OK","NG")</f>
        <v>OK</v>
      </c>
      <c r="U63" s="337" t="str">
        <f>IF(U61&gt;U62,"OK","NG")</f>
        <v>OK</v>
      </c>
      <c r="V63" s="337" t="str">
        <f>IF(V61&gt;V62,"OK","NG")</f>
        <v>OK</v>
      </c>
      <c r="W63" s="337"/>
      <c r="X63" s="337" t="str">
        <f>IF(X61&gt;X62,"OK","NG")</f>
        <v>OK</v>
      </c>
      <c r="Y63" s="337" t="str">
        <f>IF(Y61&gt;Y62,"OK","NG")</f>
        <v>OK</v>
      </c>
      <c r="Z63" s="337" t="str">
        <f>IF(Z61&gt;Z62,"OK","NG")</f>
        <v>OK</v>
      </c>
      <c r="AA63" s="337" t="str">
        <f>IF(AA61&gt;AA62,"OK","NG")</f>
        <v>OK</v>
      </c>
      <c r="AB63" s="337"/>
      <c r="AC63" s="337" t="str">
        <f>IF(AC61&gt;AC62,"OK","NG")</f>
        <v>OK</v>
      </c>
      <c r="AD63" s="337" t="str">
        <f>IF(AD61&gt;AD62,"OK","NG")</f>
        <v>OK</v>
      </c>
      <c r="AE63" s="337" t="str">
        <f>IF(AE61&gt;AE62,"OK","NG")</f>
        <v>OK</v>
      </c>
      <c r="AF63" s="337" t="str">
        <f>IF(AF61&gt;AF62,"OK","NG")</f>
        <v>OK</v>
      </c>
      <c r="AG63" s="337"/>
      <c r="AH63" s="337" t="str">
        <f>IF(AH61&gt;AH62,"OK","NG")</f>
        <v>OK</v>
      </c>
      <c r="AI63" s="337" t="str">
        <f>IF(AI61&gt;AI62,"OK","NG")</f>
        <v>OK</v>
      </c>
      <c r="AJ63" s="337" t="str">
        <f>IF(AJ61&gt;AJ62,"OK","NG")</f>
        <v>OK</v>
      </c>
      <c r="AK63" s="338" t="str">
        <f>IF(AK61&gt;AK62,"OK","NG")</f>
        <v>OK</v>
      </c>
      <c r="AL63" s="519"/>
      <c r="AM63" s="337"/>
      <c r="AN63" s="337"/>
      <c r="AO63" s="337"/>
      <c r="AP63" s="520"/>
    </row>
    <row r="64" spans="1:42" x14ac:dyDescent="0.15">
      <c r="B64" s="27" t="s">
        <v>337</v>
      </c>
      <c r="E64" s="39" t="s">
        <v>338</v>
      </c>
    </row>
    <row r="65" spans="1:7" x14ac:dyDescent="0.15">
      <c r="B65" s="27" t="s">
        <v>339</v>
      </c>
      <c r="E65" s="39" t="s">
        <v>340</v>
      </c>
    </row>
    <row r="67" spans="1:7" x14ac:dyDescent="0.15">
      <c r="A67" s="39" t="s">
        <v>341</v>
      </c>
    </row>
    <row r="68" spans="1:7" x14ac:dyDescent="0.15">
      <c r="B68" s="39" t="s">
        <v>342</v>
      </c>
    </row>
    <row r="69" spans="1:7" x14ac:dyDescent="0.15">
      <c r="B69" s="27" t="s">
        <v>343</v>
      </c>
    </row>
    <row r="70" spans="1:7" x14ac:dyDescent="0.15">
      <c r="B70" s="27" t="s">
        <v>344</v>
      </c>
    </row>
    <row r="71" spans="1:7" x14ac:dyDescent="0.15">
      <c r="C71" s="39" t="s">
        <v>345</v>
      </c>
      <c r="D71" s="11"/>
    </row>
    <row r="72" spans="1:7" x14ac:dyDescent="0.15">
      <c r="C72" s="39" t="s">
        <v>346</v>
      </c>
      <c r="G72" s="39" t="s">
        <v>310</v>
      </c>
    </row>
    <row r="73" spans="1:7" x14ac:dyDescent="0.15">
      <c r="C73" s="39" t="s">
        <v>347</v>
      </c>
    </row>
    <row r="74" spans="1:7" x14ac:dyDescent="0.15">
      <c r="C74" s="39" t="s">
        <v>348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3" priority="1" stopIfTrue="1" operator="equal">
      <formula>"NG"</formula>
    </cfRule>
  </conditionalFormatting>
  <conditionalFormatting sqref="N57:AP57 N63:AP63">
    <cfRule type="cellIs" dxfId="2" priority="2" stopIfTrue="1" operator="equal">
      <formula>"NG"</formula>
    </cfRule>
  </conditionalFormatting>
  <pageMargins left="0.75" right="0.75" top="1" bottom="1" header="0.51200000000000001" footer="0.51200000000000001"/>
  <pageSetup paperSize="9" scale="67" fitToWidth="2" orientation="portrait" blackAndWhite="1" r:id="rId1"/>
  <colBreaks count="3" manualBreakCount="3">
    <brk id="10" max="67" man="1"/>
    <brk id="23" max="67" man="1"/>
    <brk id="33" max="67"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74"/>
  <sheetViews>
    <sheetView view="pageBreakPreview" topLeftCell="A37" zoomScale="75" zoomScaleNormal="85" zoomScaleSheetLayoutView="75" workbookViewId="0">
      <selection activeCell="N19" sqref="N19"/>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customWidth="1"/>
    <col min="8" max="10" width="9" style="39" customWidth="1"/>
    <col min="11" max="11" width="10" style="39" customWidth="1"/>
    <col min="12" max="13" width="10.375" style="39" customWidth="1"/>
    <col min="14" max="17" width="11.75" style="39" customWidth="1"/>
    <col min="18" max="18" width="2.625" style="39" customWidth="1"/>
    <col min="19" max="22" width="11.75" style="39" customWidth="1"/>
    <col min="23" max="23" width="2.625" style="39" customWidth="1"/>
    <col min="24" max="27" width="11.75" style="39" customWidth="1"/>
    <col min="28" max="28" width="2.625" style="39" customWidth="1"/>
    <col min="29" max="32" width="11.75" style="39" customWidth="1"/>
    <col min="33" max="33" width="2.625" style="39" customWidth="1"/>
    <col min="34" max="43" width="11.75" style="39" customWidth="1"/>
    <col min="44" max="49" width="3.875" style="39" customWidth="1"/>
    <col min="50" max="76" width="9" style="39" customWidth="1"/>
    <col min="77" max="16384" width="9" style="39"/>
  </cols>
  <sheetData>
    <row r="1" spans="1:42" x14ac:dyDescent="0.15">
      <c r="A1" s="27" t="s">
        <v>232</v>
      </c>
      <c r="K1" s="39" t="s">
        <v>233</v>
      </c>
      <c r="O1" s="39" t="s">
        <v>405</v>
      </c>
    </row>
    <row r="3" spans="1:42" x14ac:dyDescent="0.15">
      <c r="A3" s="39" t="s">
        <v>234</v>
      </c>
      <c r="K3" s="566" t="s">
        <v>5</v>
      </c>
      <c r="L3" s="567"/>
      <c r="M3" s="159"/>
      <c r="N3" s="111" t="s">
        <v>9</v>
      </c>
      <c r="O3" s="107" t="str">
        <f>鉛直!P6</f>
        <v>F2</v>
      </c>
      <c r="P3" s="107" t="s">
        <v>7</v>
      </c>
      <c r="Q3" s="107" t="s">
        <v>9</v>
      </c>
      <c r="R3" s="107"/>
      <c r="S3" s="107" t="s">
        <v>235</v>
      </c>
      <c r="T3" s="107" t="s">
        <v>235</v>
      </c>
      <c r="U3" s="107" t="s">
        <v>235</v>
      </c>
      <c r="V3" s="107" t="s">
        <v>235</v>
      </c>
      <c r="W3" s="107"/>
      <c r="X3" s="107" t="s">
        <v>7</v>
      </c>
      <c r="Y3" s="107" t="s">
        <v>6</v>
      </c>
      <c r="Z3" s="107" t="s">
        <v>6</v>
      </c>
      <c r="AA3" s="107" t="s">
        <v>7</v>
      </c>
      <c r="AB3" s="107"/>
      <c r="AC3" s="107" t="s">
        <v>235</v>
      </c>
      <c r="AD3" s="107" t="s">
        <v>235</v>
      </c>
      <c r="AE3" s="107" t="s">
        <v>235</v>
      </c>
      <c r="AF3" s="107" t="s">
        <v>235</v>
      </c>
      <c r="AG3" s="107"/>
      <c r="AH3" s="107" t="s">
        <v>9</v>
      </c>
      <c r="AI3" s="107" t="s">
        <v>8</v>
      </c>
      <c r="AJ3" s="107" t="s">
        <v>8</v>
      </c>
      <c r="AK3" s="108" t="s">
        <v>9</v>
      </c>
      <c r="AL3" s="148"/>
      <c r="AM3" s="148"/>
      <c r="AN3" s="148"/>
      <c r="AO3" s="148"/>
      <c r="AP3" s="149"/>
    </row>
    <row r="4" spans="1:42" x14ac:dyDescent="0.15">
      <c r="B4" s="39" t="s">
        <v>236</v>
      </c>
      <c r="J4" s="29" t="s">
        <v>237</v>
      </c>
      <c r="K4" s="565" t="s">
        <v>10</v>
      </c>
      <c r="L4" s="555"/>
      <c r="M4" s="158"/>
      <c r="N4" s="112" t="s">
        <v>375</v>
      </c>
      <c r="O4" s="109" t="s">
        <v>376</v>
      </c>
      <c r="P4" s="109" t="s">
        <v>377</v>
      </c>
      <c r="Q4" s="109" t="s">
        <v>378</v>
      </c>
      <c r="R4" s="109"/>
      <c r="S4" s="109" t="s">
        <v>379</v>
      </c>
      <c r="T4" s="109" t="s">
        <v>380</v>
      </c>
      <c r="U4" s="109" t="s">
        <v>381</v>
      </c>
      <c r="V4" s="109" t="s">
        <v>382</v>
      </c>
      <c r="W4" s="109"/>
      <c r="X4" s="109" t="s">
        <v>383</v>
      </c>
      <c r="Y4" s="109" t="s">
        <v>12</v>
      </c>
      <c r="Z4" s="109" t="s">
        <v>384</v>
      </c>
      <c r="AA4" s="109" t="s">
        <v>385</v>
      </c>
      <c r="AB4" s="109"/>
      <c r="AC4" s="109" t="s">
        <v>386</v>
      </c>
      <c r="AD4" s="109" t="s">
        <v>387</v>
      </c>
      <c r="AE4" s="109" t="s">
        <v>388</v>
      </c>
      <c r="AF4" s="109" t="s">
        <v>389</v>
      </c>
      <c r="AG4" s="109"/>
      <c r="AH4" s="109" t="s">
        <v>390</v>
      </c>
      <c r="AI4" s="109" t="s">
        <v>391</v>
      </c>
      <c r="AJ4" s="109" t="s">
        <v>392</v>
      </c>
      <c r="AK4" s="110" t="s">
        <v>393</v>
      </c>
      <c r="AL4" s="153"/>
      <c r="AM4" s="153"/>
      <c r="AN4" s="153"/>
      <c r="AO4" s="153"/>
      <c r="AP4" s="154"/>
    </row>
    <row r="5" spans="1:42" x14ac:dyDescent="0.15">
      <c r="J5" s="29"/>
      <c r="K5" s="129" t="s">
        <v>394</v>
      </c>
      <c r="L5" s="130">
        <v>448.3</v>
      </c>
      <c r="M5" s="124" t="s">
        <v>358</v>
      </c>
      <c r="N5" s="131"/>
      <c r="O5" s="132"/>
      <c r="P5" s="132"/>
      <c r="Q5" s="132"/>
      <c r="R5" s="132"/>
      <c r="S5" s="132"/>
      <c r="T5" s="132"/>
      <c r="U5" s="132"/>
      <c r="V5" s="132"/>
      <c r="W5" s="132"/>
      <c r="X5" s="132"/>
      <c r="Y5" s="132"/>
      <c r="Z5" s="132"/>
      <c r="AA5" s="132"/>
      <c r="AB5" s="132"/>
      <c r="AC5" s="132"/>
      <c r="AD5" s="132"/>
      <c r="AE5" s="132"/>
      <c r="AF5" s="132"/>
      <c r="AG5" s="132"/>
      <c r="AH5" s="132"/>
      <c r="AI5" s="132"/>
      <c r="AJ5" s="132"/>
      <c r="AK5" s="136"/>
      <c r="AL5" s="140"/>
      <c r="AM5" s="140"/>
      <c r="AN5" s="140"/>
      <c r="AO5" s="140"/>
      <c r="AP5" s="141"/>
    </row>
    <row r="6" spans="1:42" x14ac:dyDescent="0.15">
      <c r="J6" s="29"/>
      <c r="K6" s="115" t="s">
        <v>395</v>
      </c>
      <c r="L6" s="480">
        <v>1376.5</v>
      </c>
      <c r="M6" s="125" t="s">
        <v>358</v>
      </c>
      <c r="N6" s="116"/>
      <c r="O6" s="117"/>
      <c r="P6" s="117"/>
      <c r="Q6" s="117"/>
      <c r="R6" s="117"/>
      <c r="S6" s="117"/>
      <c r="T6" s="117"/>
      <c r="U6" s="117"/>
      <c r="V6" s="117"/>
      <c r="W6" s="117"/>
      <c r="X6" s="117"/>
      <c r="Y6" s="117"/>
      <c r="Z6" s="117"/>
      <c r="AA6" s="117"/>
      <c r="AB6" s="117"/>
      <c r="AC6" s="117"/>
      <c r="AD6" s="117"/>
      <c r="AE6" s="117"/>
      <c r="AF6" s="117"/>
      <c r="AG6" s="117"/>
      <c r="AH6" s="117"/>
      <c r="AI6" s="117"/>
      <c r="AJ6" s="117"/>
      <c r="AK6" s="137"/>
      <c r="AL6" s="120"/>
      <c r="AM6" s="120"/>
      <c r="AN6" s="120"/>
      <c r="AO6" s="120"/>
      <c r="AP6" s="146"/>
    </row>
    <row r="7" spans="1:42" x14ac:dyDescent="0.15">
      <c r="J7" s="29"/>
      <c r="K7" s="115" t="s">
        <v>406</v>
      </c>
      <c r="L7" s="480">
        <f>+L6*0.1</f>
        <v>137.65</v>
      </c>
      <c r="M7" s="125" t="s">
        <v>358</v>
      </c>
      <c r="N7" s="116"/>
      <c r="O7" s="117"/>
      <c r="P7" s="117"/>
      <c r="Q7" s="117"/>
      <c r="R7" s="117"/>
      <c r="S7" s="117"/>
      <c r="T7" s="117"/>
      <c r="U7" s="117"/>
      <c r="V7" s="117"/>
      <c r="W7" s="117"/>
      <c r="X7" s="117"/>
      <c r="Y7" s="117"/>
      <c r="Z7" s="117"/>
      <c r="AA7" s="117"/>
      <c r="AB7" s="117"/>
      <c r="AC7" s="117"/>
      <c r="AD7" s="117"/>
      <c r="AE7" s="117"/>
      <c r="AF7" s="117"/>
      <c r="AG7" s="117"/>
      <c r="AH7" s="117"/>
      <c r="AI7" s="117"/>
      <c r="AJ7" s="117"/>
      <c r="AK7" s="137"/>
      <c r="AL7" s="120"/>
      <c r="AM7" s="120"/>
      <c r="AN7" s="120"/>
      <c r="AO7" s="120"/>
      <c r="AP7" s="146"/>
    </row>
    <row r="8" spans="1:42" x14ac:dyDescent="0.15">
      <c r="J8" s="29"/>
      <c r="K8" s="115" t="s">
        <v>397</v>
      </c>
      <c r="L8" s="480">
        <f>+L7+L5</f>
        <v>585.95000000000005</v>
      </c>
      <c r="M8" s="125" t="s">
        <v>358</v>
      </c>
      <c r="N8" s="116"/>
      <c r="O8" s="117"/>
      <c r="P8" s="117"/>
      <c r="Q8" s="117"/>
      <c r="R8" s="117"/>
      <c r="S8" s="117"/>
      <c r="T8" s="117"/>
      <c r="U8" s="117"/>
      <c r="V8" s="117"/>
      <c r="W8" s="117"/>
      <c r="X8" s="117"/>
      <c r="Y8" s="117"/>
      <c r="Z8" s="117"/>
      <c r="AA8" s="117"/>
      <c r="AB8" s="117"/>
      <c r="AC8" s="117"/>
      <c r="AD8" s="117"/>
      <c r="AE8" s="117"/>
      <c r="AF8" s="117"/>
      <c r="AG8" s="117"/>
      <c r="AH8" s="117"/>
      <c r="AI8" s="117"/>
      <c r="AJ8" s="117"/>
      <c r="AK8" s="137"/>
      <c r="AL8" s="120"/>
      <c r="AM8" s="120"/>
      <c r="AN8" s="120"/>
      <c r="AO8" s="120"/>
      <c r="AP8" s="146"/>
    </row>
    <row r="9" spans="1:42" x14ac:dyDescent="0.15">
      <c r="J9" s="29"/>
      <c r="K9" s="133" t="s">
        <v>398</v>
      </c>
      <c r="L9" s="481">
        <f>+AL13</f>
        <v>4655</v>
      </c>
      <c r="M9" s="126" t="s">
        <v>358</v>
      </c>
      <c r="N9" s="134"/>
      <c r="O9" s="135"/>
      <c r="P9" s="135"/>
      <c r="Q9" s="135"/>
      <c r="R9" s="135"/>
      <c r="S9" s="135"/>
      <c r="T9" s="135"/>
      <c r="U9" s="135"/>
      <c r="V9" s="135"/>
      <c r="W9" s="135"/>
      <c r="X9" s="135"/>
      <c r="Y9" s="135"/>
      <c r="Z9" s="135"/>
      <c r="AA9" s="135"/>
      <c r="AB9" s="135"/>
      <c r="AC9" s="135"/>
      <c r="AD9" s="135"/>
      <c r="AE9" s="135"/>
      <c r="AF9" s="135"/>
      <c r="AG9" s="135"/>
      <c r="AH9" s="135"/>
      <c r="AI9" s="135"/>
      <c r="AJ9" s="135"/>
      <c r="AK9" s="138"/>
      <c r="AL9" s="143"/>
      <c r="AM9" s="143"/>
      <c r="AN9" s="143"/>
      <c r="AO9" s="143"/>
      <c r="AP9" s="144"/>
    </row>
    <row r="10" spans="1:42" x14ac:dyDescent="0.15">
      <c r="K10" s="583" t="s">
        <v>238</v>
      </c>
      <c r="L10" s="127" t="s">
        <v>239</v>
      </c>
      <c r="M10" s="128" t="s">
        <v>20</v>
      </c>
      <c r="N10" s="482">
        <v>2</v>
      </c>
      <c r="O10" s="523">
        <v>2</v>
      </c>
      <c r="P10" s="523">
        <v>2</v>
      </c>
      <c r="Q10" s="523">
        <v>2</v>
      </c>
      <c r="R10" s="523"/>
      <c r="S10" s="302">
        <v>1</v>
      </c>
      <c r="T10" s="302">
        <v>1</v>
      </c>
      <c r="U10" s="302">
        <v>1</v>
      </c>
      <c r="V10" s="302">
        <v>1</v>
      </c>
      <c r="W10" s="148"/>
      <c r="X10" s="148">
        <v>2</v>
      </c>
      <c r="Y10" s="148">
        <v>3</v>
      </c>
      <c r="Z10" s="148">
        <v>3</v>
      </c>
      <c r="AA10" s="148">
        <v>2</v>
      </c>
      <c r="AB10" s="148"/>
      <c r="AC10" s="148">
        <v>1</v>
      </c>
      <c r="AD10" s="148">
        <v>1</v>
      </c>
      <c r="AE10" s="148">
        <v>1</v>
      </c>
      <c r="AF10" s="148">
        <v>1</v>
      </c>
      <c r="AG10" s="148"/>
      <c r="AH10" s="148">
        <v>2</v>
      </c>
      <c r="AI10" s="148">
        <v>3</v>
      </c>
      <c r="AJ10" s="148">
        <v>3</v>
      </c>
      <c r="AK10" s="148">
        <v>2</v>
      </c>
      <c r="AL10" s="148"/>
      <c r="AM10" s="148"/>
      <c r="AN10" s="148"/>
      <c r="AO10" s="148"/>
      <c r="AP10" s="149"/>
    </row>
    <row r="11" spans="1:42" x14ac:dyDescent="0.15">
      <c r="B11" s="39" t="s">
        <v>240</v>
      </c>
      <c r="D11" s="39" t="s">
        <v>237</v>
      </c>
      <c r="K11" s="549"/>
      <c r="L11" s="9" t="s">
        <v>241</v>
      </c>
      <c r="M11" s="46" t="s">
        <v>20</v>
      </c>
      <c r="N11" s="304">
        <v>1</v>
      </c>
      <c r="O11" s="305">
        <f>鉛直!P17</f>
        <v>2</v>
      </c>
      <c r="P11" s="305">
        <v>2</v>
      </c>
      <c r="Q11" s="305">
        <v>1</v>
      </c>
      <c r="R11" s="305"/>
      <c r="S11" s="305">
        <v>1</v>
      </c>
      <c r="T11" s="305">
        <v>1</v>
      </c>
      <c r="U11" s="305">
        <v>1</v>
      </c>
      <c r="V11" s="305">
        <v>1</v>
      </c>
      <c r="W11" s="151"/>
      <c r="X11" s="151">
        <v>2</v>
      </c>
      <c r="Y11" s="151">
        <v>2</v>
      </c>
      <c r="Z11" s="151">
        <v>2</v>
      </c>
      <c r="AA11" s="151">
        <v>2</v>
      </c>
      <c r="AB11" s="151"/>
      <c r="AC11" s="151">
        <v>1</v>
      </c>
      <c r="AD11" s="151">
        <v>1</v>
      </c>
      <c r="AE11" s="151">
        <v>1</v>
      </c>
      <c r="AF11" s="151">
        <v>1</v>
      </c>
      <c r="AG11" s="151"/>
      <c r="AH11" s="151">
        <v>1</v>
      </c>
      <c r="AI11" s="151">
        <v>1</v>
      </c>
      <c r="AJ11" s="151">
        <v>1</v>
      </c>
      <c r="AK11" s="151">
        <v>1</v>
      </c>
      <c r="AL11" s="151"/>
      <c r="AM11" s="151"/>
      <c r="AN11" s="151"/>
      <c r="AO11" s="151"/>
      <c r="AP11" s="152"/>
    </row>
    <row r="12" spans="1:42" x14ac:dyDescent="0.15">
      <c r="B12" s="27" t="s">
        <v>242</v>
      </c>
      <c r="D12" s="39">
        <f>0.2*F13</f>
        <v>0.16000000000000003</v>
      </c>
      <c r="F12" s="27" t="s">
        <v>243</v>
      </c>
      <c r="K12" s="549"/>
      <c r="L12" s="9" t="s">
        <v>244</v>
      </c>
      <c r="M12" s="46" t="s">
        <v>20</v>
      </c>
      <c r="N12" s="483">
        <v>1.08</v>
      </c>
      <c r="O12" s="484">
        <v>1.08</v>
      </c>
      <c r="P12" s="484">
        <v>1.08</v>
      </c>
      <c r="Q12" s="485">
        <v>1.08</v>
      </c>
      <c r="R12" s="484"/>
      <c r="S12" s="524">
        <v>1.08</v>
      </c>
      <c r="T12" s="484">
        <v>1.08</v>
      </c>
      <c r="U12" s="484">
        <v>1.08</v>
      </c>
      <c r="V12" s="484">
        <v>1.08</v>
      </c>
      <c r="W12" s="484"/>
      <c r="X12" s="484">
        <v>1.08</v>
      </c>
      <c r="Y12" s="484">
        <v>1.08</v>
      </c>
      <c r="Z12" s="484">
        <v>1.08</v>
      </c>
      <c r="AA12" s="484">
        <v>1.08</v>
      </c>
      <c r="AB12" s="484"/>
      <c r="AC12" s="484">
        <v>1.08</v>
      </c>
      <c r="AD12" s="484">
        <v>1.08</v>
      </c>
      <c r="AE12" s="484">
        <v>1.08</v>
      </c>
      <c r="AF12" s="484">
        <v>1.08</v>
      </c>
      <c r="AG12" s="484"/>
      <c r="AH12" s="484">
        <v>1.08</v>
      </c>
      <c r="AI12" s="484">
        <v>1.08</v>
      </c>
      <c r="AJ12" s="484">
        <v>1.08</v>
      </c>
      <c r="AK12" s="485">
        <v>1.08</v>
      </c>
      <c r="AL12" s="308"/>
      <c r="AM12" s="308"/>
      <c r="AN12" s="308"/>
      <c r="AO12" s="308"/>
      <c r="AP12" s="487"/>
    </row>
    <row r="13" spans="1:42" x14ac:dyDescent="0.15">
      <c r="B13" s="27" t="s">
        <v>245</v>
      </c>
      <c r="D13" s="39">
        <f>0.1*F13</f>
        <v>8.0000000000000016E-2</v>
      </c>
      <c r="F13" s="28">
        <v>0.8</v>
      </c>
      <c r="K13" s="549"/>
      <c r="L13" s="9" t="s">
        <v>246</v>
      </c>
      <c r="M13" s="46" t="s">
        <v>126</v>
      </c>
      <c r="N13" s="488">
        <f>+'水平 X'!N13</f>
        <v>235</v>
      </c>
      <c r="O13" s="489">
        <f>+'水平 X'!O13</f>
        <v>370</v>
      </c>
      <c r="P13" s="489">
        <f>+'水平 X'!P13</f>
        <v>352</v>
      </c>
      <c r="Q13" s="489">
        <f>+'水平 X'!Q13</f>
        <v>225</v>
      </c>
      <c r="R13" s="489"/>
      <c r="S13" s="489">
        <f>+'水平 X'!S13</f>
        <v>60</v>
      </c>
      <c r="T13" s="489">
        <f>+'水平 X'!T13</f>
        <v>38</v>
      </c>
      <c r="U13" s="489">
        <f>+'水平 X'!U13</f>
        <v>39</v>
      </c>
      <c r="V13" s="489">
        <f>+'水平 X'!V13</f>
        <v>61</v>
      </c>
      <c r="W13" s="489"/>
      <c r="X13" s="489">
        <f>+'水平 X'!X13</f>
        <v>444</v>
      </c>
      <c r="Y13" s="489">
        <f>+'水平 X'!Y13</f>
        <v>592</v>
      </c>
      <c r="Z13" s="489">
        <f>+'水平 X'!Z13</f>
        <v>566</v>
      </c>
      <c r="AA13" s="489">
        <f>+'水平 X'!AA13</f>
        <v>410</v>
      </c>
      <c r="AB13" s="489"/>
      <c r="AC13" s="489">
        <f>+'水平 X'!AC13</f>
        <v>57</v>
      </c>
      <c r="AD13" s="489">
        <f>+'水平 X'!AD13</f>
        <v>36</v>
      </c>
      <c r="AE13" s="489">
        <f>+'水平 X'!AE13</f>
        <v>36</v>
      </c>
      <c r="AF13" s="489">
        <f>+'水平 X'!AF13</f>
        <v>57</v>
      </c>
      <c r="AG13" s="489"/>
      <c r="AH13" s="489">
        <f>+'水平 X'!AH13</f>
        <v>217</v>
      </c>
      <c r="AI13" s="489">
        <f>+'水平 X'!AI13</f>
        <v>335</v>
      </c>
      <c r="AJ13" s="489">
        <f>+'水平 X'!AJ13</f>
        <v>321</v>
      </c>
      <c r="AK13" s="525">
        <f>+'水平 X'!AK13</f>
        <v>204</v>
      </c>
      <c r="AL13" s="305">
        <f>SUM(N13:AK13)</f>
        <v>4655</v>
      </c>
      <c r="AM13" s="151"/>
      <c r="AN13" s="151"/>
      <c r="AO13" s="151"/>
      <c r="AP13" s="152"/>
    </row>
    <row r="14" spans="1:42" x14ac:dyDescent="0.15">
      <c r="B14" s="39" t="s">
        <v>247</v>
      </c>
      <c r="D14" s="39" t="s">
        <v>237</v>
      </c>
      <c r="K14" s="549"/>
      <c r="L14" s="9" t="s">
        <v>248</v>
      </c>
      <c r="M14" s="46" t="s">
        <v>126</v>
      </c>
      <c r="N14" s="488">
        <v>-28</v>
      </c>
      <c r="O14" s="489">
        <v>-30</v>
      </c>
      <c r="P14" s="489">
        <v>-30</v>
      </c>
      <c r="Q14" s="525">
        <v>-28</v>
      </c>
      <c r="R14" s="489"/>
      <c r="S14" s="526">
        <v>4</v>
      </c>
      <c r="T14" s="527">
        <v>5</v>
      </c>
      <c r="U14" s="527">
        <v>5</v>
      </c>
      <c r="V14" s="527">
        <v>4</v>
      </c>
      <c r="W14" s="122"/>
      <c r="X14" s="122">
        <v>-2</v>
      </c>
      <c r="Y14" s="122">
        <v>-2</v>
      </c>
      <c r="Z14" s="122">
        <v>-2</v>
      </c>
      <c r="AA14" s="122">
        <v>-2</v>
      </c>
      <c r="AB14" s="122"/>
      <c r="AC14" s="122">
        <v>-6</v>
      </c>
      <c r="AD14" s="122">
        <v>-7</v>
      </c>
      <c r="AE14" s="122">
        <v>-7</v>
      </c>
      <c r="AF14" s="122">
        <v>-6</v>
      </c>
      <c r="AG14" s="122"/>
      <c r="AH14" s="122">
        <v>32</v>
      </c>
      <c r="AI14" s="122">
        <v>34</v>
      </c>
      <c r="AJ14" s="122">
        <v>34</v>
      </c>
      <c r="AK14" s="123">
        <v>32</v>
      </c>
      <c r="AL14" s="305"/>
      <c r="AM14" s="151"/>
      <c r="AN14" s="151"/>
      <c r="AO14" s="151"/>
      <c r="AP14" s="152"/>
    </row>
    <row r="15" spans="1:42" x14ac:dyDescent="0.15">
      <c r="B15" s="39" t="s">
        <v>249</v>
      </c>
      <c r="K15" s="549"/>
      <c r="L15" s="9" t="s">
        <v>399</v>
      </c>
      <c r="M15" s="46" t="s">
        <v>126</v>
      </c>
      <c r="N15" s="304">
        <f>SUM(N13:N14)</f>
        <v>207</v>
      </c>
      <c r="O15" s="305">
        <f>SUM(O13:O14)</f>
        <v>340</v>
      </c>
      <c r="P15" s="305">
        <f>SUM(P13:P14)</f>
        <v>322</v>
      </c>
      <c r="Q15" s="306">
        <f>SUM(Q13:Q14)</f>
        <v>197</v>
      </c>
      <c r="R15" s="305"/>
      <c r="S15" s="528">
        <f>SUM(S13:S14)</f>
        <v>64</v>
      </c>
      <c r="T15" s="305">
        <f>SUM(T13:T14)</f>
        <v>43</v>
      </c>
      <c r="U15" s="305">
        <f>SUM(U13:U14)</f>
        <v>44</v>
      </c>
      <c r="V15" s="305">
        <f>SUM(V13:V14)</f>
        <v>65</v>
      </c>
      <c r="W15" s="305"/>
      <c r="X15" s="305">
        <f>SUM(X13:X14)</f>
        <v>442</v>
      </c>
      <c r="Y15" s="305">
        <f>SUM(Y13:Y14)</f>
        <v>590</v>
      </c>
      <c r="Z15" s="305">
        <f>SUM(Z13:Z14)</f>
        <v>564</v>
      </c>
      <c r="AA15" s="305">
        <f>SUM(AA13:AA14)</f>
        <v>408</v>
      </c>
      <c r="AB15" s="305"/>
      <c r="AC15" s="305">
        <f>SUM(AC13:AC14)</f>
        <v>51</v>
      </c>
      <c r="AD15" s="305">
        <f>SUM(AD13:AD14)</f>
        <v>29</v>
      </c>
      <c r="AE15" s="305">
        <f>SUM(AE13:AE14)</f>
        <v>29</v>
      </c>
      <c r="AF15" s="305">
        <f>SUM(AF13:AF14)</f>
        <v>51</v>
      </c>
      <c r="AG15" s="305"/>
      <c r="AH15" s="305">
        <f>SUM(AH13:AH14)</f>
        <v>249</v>
      </c>
      <c r="AI15" s="305">
        <f>SUM(AI13:AI14)</f>
        <v>369</v>
      </c>
      <c r="AJ15" s="305">
        <f>SUM(AJ13:AJ14)</f>
        <v>355</v>
      </c>
      <c r="AK15" s="306">
        <f>SUM(AK13:AK14)</f>
        <v>236</v>
      </c>
      <c r="AL15" s="305">
        <f t="shared" ref="AL15:AL21" si="0">SUM(N15:AK15)</f>
        <v>4655</v>
      </c>
      <c r="AM15" s="305"/>
      <c r="AN15" s="305"/>
      <c r="AO15" s="305"/>
      <c r="AP15" s="491"/>
    </row>
    <row r="16" spans="1:42" x14ac:dyDescent="0.15">
      <c r="K16" s="549"/>
      <c r="L16" s="118" t="s">
        <v>400</v>
      </c>
      <c r="M16" s="46" t="s">
        <v>126</v>
      </c>
      <c r="N16" s="304">
        <f>+$L$8*N15/$L$9</f>
        <v>26.05620837808808</v>
      </c>
      <c r="O16" s="306">
        <f>+$L$8*O15/$L$9</f>
        <v>42.797636949516658</v>
      </c>
      <c r="P16" s="304">
        <f>+$L$8*P15/$L$9</f>
        <v>40.531879699248123</v>
      </c>
      <c r="Q16" s="304">
        <f>+$L$8*Q15/$L$9</f>
        <v>24.797454350161118</v>
      </c>
      <c r="R16" s="305"/>
      <c r="S16" s="304">
        <f>+$L$8*S15/$L$9</f>
        <v>8.0560257787325469</v>
      </c>
      <c r="T16" s="304">
        <f>+$L$8*T15/$L$9</f>
        <v>5.4126423200859293</v>
      </c>
      <c r="U16" s="304">
        <f>+$L$8*U15/$L$9</f>
        <v>5.538517722878626</v>
      </c>
      <c r="V16" s="528">
        <f>+$L$8*V15/$L$9</f>
        <v>8.1819011815252409</v>
      </c>
      <c r="W16" s="305"/>
      <c r="X16" s="305">
        <f>+$L$8*X15/$L$9</f>
        <v>55.63692803437165</v>
      </c>
      <c r="Y16" s="305">
        <f>+$L$8*Y15/$L$9</f>
        <v>74.266487647690653</v>
      </c>
      <c r="Z16" s="305">
        <f>+$L$8*Z15/$L$9</f>
        <v>70.993727175080565</v>
      </c>
      <c r="AA16" s="305">
        <f>+$L$8*AA15/$L$9</f>
        <v>51.357164339419981</v>
      </c>
      <c r="AB16" s="305"/>
      <c r="AC16" s="305">
        <f>+$L$8*AC15/$L$9</f>
        <v>6.4196455424274976</v>
      </c>
      <c r="AD16" s="305">
        <f>+$L$8*AD15/$L$9</f>
        <v>3.6503866809881855</v>
      </c>
      <c r="AE16" s="305">
        <f>+$L$8*AE15/$L$9</f>
        <v>3.6503866809881855</v>
      </c>
      <c r="AF16" s="305">
        <f>+$L$8*AF15/$L$9</f>
        <v>6.4196455424274976</v>
      </c>
      <c r="AG16" s="305"/>
      <c r="AH16" s="305">
        <f>+$L$8*AH15/$L$9</f>
        <v>31.342975295381315</v>
      </c>
      <c r="AI16" s="305">
        <f>+$L$8*AI15/$L$9</f>
        <v>46.448023630504835</v>
      </c>
      <c r="AJ16" s="305">
        <f>+$L$8*AJ15/$L$9</f>
        <v>44.685767991407097</v>
      </c>
      <c r="AK16" s="306">
        <f>+$L$8*AK15/$L$9</f>
        <v>29.706595059076264</v>
      </c>
      <c r="AL16" s="305">
        <f t="shared" si="0"/>
        <v>585.94999999999993</v>
      </c>
      <c r="AM16" s="305"/>
      <c r="AN16" s="305"/>
      <c r="AO16" s="305"/>
      <c r="AP16" s="491"/>
    </row>
    <row r="17" spans="1:42" x14ac:dyDescent="0.15">
      <c r="K17" s="549"/>
      <c r="L17" s="9" t="s">
        <v>251</v>
      </c>
      <c r="M17" s="46" t="s">
        <v>126</v>
      </c>
      <c r="N17" s="304">
        <f>ROUNDDOWN(N10*N11*N12*20,1)</f>
        <v>43.2</v>
      </c>
      <c r="O17" s="305">
        <f>ROUNDDOWN(O10*O11*O12*20,1)</f>
        <v>86.4</v>
      </c>
      <c r="P17" s="305">
        <f>ROUNDDOWN(P10*P11*P12*20,1)</f>
        <v>86.4</v>
      </c>
      <c r="Q17" s="306">
        <f>ROUNDDOWN(Q10*Q11*Q12*20,1)</f>
        <v>43.2</v>
      </c>
      <c r="R17" s="305"/>
      <c r="S17" s="528">
        <f>ROUNDDOWN(S10*S11*S12*20,1)</f>
        <v>21.6</v>
      </c>
      <c r="T17" s="305">
        <f>ROUNDDOWN(T10*T11*T12*20,1)</f>
        <v>21.6</v>
      </c>
      <c r="U17" s="305">
        <f>ROUNDDOWN(U10*U11*U12*20,1)</f>
        <v>21.6</v>
      </c>
      <c r="V17" s="305">
        <f>ROUNDDOWN(V10*V11*V12*20,1)</f>
        <v>21.6</v>
      </c>
      <c r="W17" s="305"/>
      <c r="X17" s="305">
        <f>ROUNDDOWN(X10*X11*X12*20,1)</f>
        <v>86.4</v>
      </c>
      <c r="Y17" s="305">
        <f>ROUNDDOWN(Y10*Y11*Y12*20,1)</f>
        <v>129.6</v>
      </c>
      <c r="Z17" s="305">
        <f>ROUNDDOWN(Z10*Z11*Z12*20,1)</f>
        <v>129.6</v>
      </c>
      <c r="AA17" s="305">
        <f>ROUNDDOWN(AA10*AA11*AA12*20,1)</f>
        <v>86.4</v>
      </c>
      <c r="AB17" s="305"/>
      <c r="AC17" s="305">
        <f>ROUNDDOWN(AC10*AC11*AC12*20,1)</f>
        <v>21.6</v>
      </c>
      <c r="AD17" s="305">
        <f>ROUNDDOWN(AD10*AD11*AD12*20,1)</f>
        <v>21.6</v>
      </c>
      <c r="AE17" s="305">
        <f>ROUNDDOWN(AE10*AE11*AE12*20,1)</f>
        <v>21.6</v>
      </c>
      <c r="AF17" s="305">
        <f>ROUNDDOWN(AF10*AF11*AF12*20,1)</f>
        <v>21.6</v>
      </c>
      <c r="AG17" s="305"/>
      <c r="AH17" s="305">
        <f>ROUNDDOWN(AH10*AH11*AH12*20,1)</f>
        <v>43.2</v>
      </c>
      <c r="AI17" s="305">
        <f>ROUNDDOWN(AI10*AI11*AI12*20,1)</f>
        <v>64.8</v>
      </c>
      <c r="AJ17" s="305">
        <f>ROUNDDOWN(AJ10*AJ11*AJ12*20,1)</f>
        <v>64.8</v>
      </c>
      <c r="AK17" s="306">
        <f>ROUNDDOWN(AK10*AK11*AK12*20,1)</f>
        <v>43.2</v>
      </c>
      <c r="AL17" s="305">
        <f t="shared" si="0"/>
        <v>1080.0000000000002</v>
      </c>
      <c r="AM17" s="305"/>
      <c r="AN17" s="305"/>
      <c r="AO17" s="305"/>
      <c r="AP17" s="491"/>
    </row>
    <row r="18" spans="1:42" x14ac:dyDescent="0.15">
      <c r="A18" s="39" t="s">
        <v>252</v>
      </c>
      <c r="K18" s="549"/>
      <c r="L18" s="9" t="s">
        <v>62</v>
      </c>
      <c r="M18" s="47" t="s">
        <v>63</v>
      </c>
      <c r="N18" s="304">
        <v>2</v>
      </c>
      <c r="O18" s="305">
        <f>鉛直!P18</f>
        <v>2</v>
      </c>
      <c r="P18" s="305">
        <v>4</v>
      </c>
      <c r="Q18" s="306">
        <f>鉛直!R18</f>
        <v>6</v>
      </c>
      <c r="R18" s="305"/>
      <c r="S18" s="528">
        <v>1</v>
      </c>
      <c r="T18" s="305">
        <v>1</v>
      </c>
      <c r="U18" s="305">
        <v>1</v>
      </c>
      <c r="V18" s="305">
        <v>1</v>
      </c>
      <c r="W18" s="305"/>
      <c r="X18" s="305">
        <v>4</v>
      </c>
      <c r="Y18" s="305">
        <v>6</v>
      </c>
      <c r="Z18" s="305">
        <v>6</v>
      </c>
      <c r="AA18" s="305">
        <v>4</v>
      </c>
      <c r="AB18" s="305"/>
      <c r="AC18" s="305">
        <v>1</v>
      </c>
      <c r="AD18" s="305">
        <v>1</v>
      </c>
      <c r="AE18" s="305">
        <v>1</v>
      </c>
      <c r="AF18" s="305">
        <v>1</v>
      </c>
      <c r="AG18" s="305"/>
      <c r="AH18" s="305">
        <v>2</v>
      </c>
      <c r="AI18" s="305">
        <v>3</v>
      </c>
      <c r="AJ18" s="305">
        <v>3</v>
      </c>
      <c r="AK18" s="306">
        <v>2</v>
      </c>
      <c r="AL18" s="305">
        <f t="shared" si="0"/>
        <v>52</v>
      </c>
      <c r="AM18" s="305"/>
      <c r="AN18" s="305"/>
      <c r="AO18" s="305"/>
      <c r="AP18" s="491"/>
    </row>
    <row r="19" spans="1:42" x14ac:dyDescent="0.15">
      <c r="B19" s="39" t="s">
        <v>253</v>
      </c>
      <c r="K19" s="549"/>
      <c r="L19" s="119" t="s">
        <v>401</v>
      </c>
      <c r="M19" s="49"/>
      <c r="N19" s="321">
        <v>0.08</v>
      </c>
      <c r="O19" s="323">
        <v>0.08</v>
      </c>
      <c r="P19" s="321">
        <v>0.08</v>
      </c>
      <c r="Q19" s="321">
        <v>0.08</v>
      </c>
      <c r="R19" s="322"/>
      <c r="S19" s="321">
        <v>0.08</v>
      </c>
      <c r="T19" s="321">
        <v>0.08</v>
      </c>
      <c r="U19" s="321">
        <v>0.08</v>
      </c>
      <c r="V19" s="529">
        <v>0.08</v>
      </c>
      <c r="W19" s="322"/>
      <c r="X19" s="322">
        <v>0.08</v>
      </c>
      <c r="Y19" s="322">
        <v>0.08</v>
      </c>
      <c r="Z19" s="322">
        <v>0.08</v>
      </c>
      <c r="AA19" s="322">
        <v>0.08</v>
      </c>
      <c r="AB19" s="322"/>
      <c r="AC19" s="322">
        <v>0.08</v>
      </c>
      <c r="AD19" s="322">
        <v>0.08</v>
      </c>
      <c r="AE19" s="322">
        <v>0.08</v>
      </c>
      <c r="AF19" s="322">
        <v>0.08</v>
      </c>
      <c r="AG19" s="322"/>
      <c r="AH19" s="322">
        <v>0.08</v>
      </c>
      <c r="AI19" s="322">
        <v>0.08</v>
      </c>
      <c r="AJ19" s="322">
        <v>0.08</v>
      </c>
      <c r="AK19" s="323">
        <v>0.08</v>
      </c>
      <c r="AL19" s="305">
        <f t="shared" si="0"/>
        <v>1.6000000000000003</v>
      </c>
      <c r="AM19" s="305"/>
      <c r="AN19" s="305"/>
      <c r="AO19" s="305"/>
      <c r="AP19" s="491"/>
    </row>
    <row r="20" spans="1:42" x14ac:dyDescent="0.15">
      <c r="K20" s="549"/>
      <c r="L20" s="113" t="s">
        <v>402</v>
      </c>
      <c r="M20" s="114"/>
      <c r="N20" s="492">
        <f>+N19*N17</f>
        <v>3.4560000000000004</v>
      </c>
      <c r="O20" s="494">
        <f>+O19*O17</f>
        <v>6.9120000000000008</v>
      </c>
      <c r="P20" s="492">
        <f>+P19*P17</f>
        <v>6.9120000000000008</v>
      </c>
      <c r="Q20" s="492">
        <f>+Q19*Q17</f>
        <v>3.4560000000000004</v>
      </c>
      <c r="R20" s="493"/>
      <c r="S20" s="492">
        <f>+S19*S17</f>
        <v>1.7280000000000002</v>
      </c>
      <c r="T20" s="492">
        <f>+T19*T17</f>
        <v>1.7280000000000002</v>
      </c>
      <c r="U20" s="492">
        <f>+U19*U17</f>
        <v>1.7280000000000002</v>
      </c>
      <c r="V20" s="530">
        <f>+V19*V17</f>
        <v>1.7280000000000002</v>
      </c>
      <c r="W20" s="493"/>
      <c r="X20" s="493">
        <f>+X19*X17</f>
        <v>6.9120000000000008</v>
      </c>
      <c r="Y20" s="493">
        <f>+Y19*Y17</f>
        <v>10.368</v>
      </c>
      <c r="Z20" s="493">
        <f>+Z19*Z17</f>
        <v>10.368</v>
      </c>
      <c r="AA20" s="493">
        <f>+AA19*AA17</f>
        <v>6.9120000000000008</v>
      </c>
      <c r="AB20" s="493"/>
      <c r="AC20" s="493">
        <f>+AC19*AC17</f>
        <v>1.7280000000000002</v>
      </c>
      <c r="AD20" s="493">
        <f>+AD19*AD17</f>
        <v>1.7280000000000002</v>
      </c>
      <c r="AE20" s="493">
        <f>+AE19*AE17</f>
        <v>1.7280000000000002</v>
      </c>
      <c r="AF20" s="493">
        <f>+AF19*AF17</f>
        <v>1.7280000000000002</v>
      </c>
      <c r="AG20" s="493"/>
      <c r="AH20" s="493">
        <f>+AH19*AH17</f>
        <v>3.4560000000000004</v>
      </c>
      <c r="AI20" s="493">
        <f>+AI19*AI17</f>
        <v>5.1840000000000002</v>
      </c>
      <c r="AJ20" s="493">
        <f>+AJ19*AJ17</f>
        <v>5.1840000000000002</v>
      </c>
      <c r="AK20" s="494">
        <f>+AK19*AK17</f>
        <v>3.4560000000000004</v>
      </c>
      <c r="AL20" s="305">
        <f t="shared" si="0"/>
        <v>86.4</v>
      </c>
      <c r="AM20" s="305"/>
      <c r="AN20" s="305"/>
      <c r="AO20" s="305"/>
      <c r="AP20" s="491"/>
    </row>
    <row r="21" spans="1:42" x14ac:dyDescent="0.15">
      <c r="K21" s="549"/>
      <c r="L21" s="113" t="s">
        <v>403</v>
      </c>
      <c r="M21" s="114"/>
      <c r="N21" s="492">
        <f>+N20+N16</f>
        <v>29.512208378088079</v>
      </c>
      <c r="O21" s="494">
        <f>+O20+O16</f>
        <v>49.709636949516657</v>
      </c>
      <c r="P21" s="494">
        <f>+P20+P16</f>
        <v>47.443879699248122</v>
      </c>
      <c r="Q21" s="494">
        <f>+Q20+Q16</f>
        <v>28.253454350161118</v>
      </c>
      <c r="R21" s="493"/>
      <c r="S21" s="492">
        <f>+S20+S16</f>
        <v>9.7840257787325466</v>
      </c>
      <c r="T21" s="494">
        <f>+T20+T16</f>
        <v>7.140642320085929</v>
      </c>
      <c r="U21" s="494">
        <f>+U20+U16</f>
        <v>7.2665177228786266</v>
      </c>
      <c r="V21" s="493">
        <f>+V20+V16</f>
        <v>9.9099011815252407</v>
      </c>
      <c r="W21" s="493"/>
      <c r="X21" s="493">
        <f>+X20+X16</f>
        <v>62.548928034371649</v>
      </c>
      <c r="Y21" s="493">
        <f>+Y20+Y16</f>
        <v>84.634487647690648</v>
      </c>
      <c r="Z21" s="493">
        <f>+Z20+Z16</f>
        <v>81.36172717508056</v>
      </c>
      <c r="AA21" s="493">
        <f>+AA20+AA16</f>
        <v>58.26916433941998</v>
      </c>
      <c r="AB21" s="493"/>
      <c r="AC21" s="493">
        <f>+AC20+AC16</f>
        <v>8.1476455424274974</v>
      </c>
      <c r="AD21" s="493">
        <f>+AD20+AD16</f>
        <v>5.3783866809881857</v>
      </c>
      <c r="AE21" s="493">
        <f>+AE20+AE16</f>
        <v>5.3783866809881857</v>
      </c>
      <c r="AF21" s="493">
        <f>+AF20+AF16</f>
        <v>8.1476455424274974</v>
      </c>
      <c r="AG21" s="493"/>
      <c r="AH21" s="493">
        <f>+AH20+AH16</f>
        <v>34.798975295381318</v>
      </c>
      <c r="AI21" s="493">
        <f>+AI20+AI16</f>
        <v>51.632023630504833</v>
      </c>
      <c r="AJ21" s="493">
        <f>+AJ20+AJ16</f>
        <v>49.869767991407095</v>
      </c>
      <c r="AK21" s="494">
        <f>+AK20+AK16</f>
        <v>33.162595059076267</v>
      </c>
      <c r="AL21" s="305">
        <f t="shared" si="0"/>
        <v>672.35</v>
      </c>
      <c r="AM21" s="305"/>
      <c r="AN21" s="305"/>
      <c r="AO21" s="305"/>
      <c r="AP21" s="491"/>
    </row>
    <row r="22" spans="1:42" x14ac:dyDescent="0.15">
      <c r="C22" s="39" t="s">
        <v>255</v>
      </c>
      <c r="K22" s="545"/>
      <c r="L22" s="10" t="s">
        <v>404</v>
      </c>
      <c r="M22" s="50" t="s">
        <v>257</v>
      </c>
      <c r="N22" s="495">
        <f>+N21/N18</f>
        <v>14.75610418904404</v>
      </c>
      <c r="O22" s="497">
        <f>+O21/O18</f>
        <v>24.854818474758329</v>
      </c>
      <c r="P22" s="497">
        <f>+P21/P18</f>
        <v>11.86096992481203</v>
      </c>
      <c r="Q22" s="497">
        <f>+Q21/Q18</f>
        <v>4.7089090583601863</v>
      </c>
      <c r="R22" s="496"/>
      <c r="S22" s="495">
        <f>+S21/S18</f>
        <v>9.7840257787325466</v>
      </c>
      <c r="T22" s="497">
        <f>+T21/T18</f>
        <v>7.140642320085929</v>
      </c>
      <c r="U22" s="497">
        <f>+U21/U18</f>
        <v>7.2665177228786266</v>
      </c>
      <c r="V22" s="496">
        <f>+V21/V18</f>
        <v>9.9099011815252407</v>
      </c>
      <c r="W22" s="496"/>
      <c r="X22" s="496">
        <f>+X21/X18</f>
        <v>15.637232008592912</v>
      </c>
      <c r="Y22" s="496">
        <f>+Y21/Y18</f>
        <v>14.105747941281775</v>
      </c>
      <c r="Z22" s="496">
        <f>+Z21/Z18</f>
        <v>13.560287862513427</v>
      </c>
      <c r="AA22" s="496">
        <f>+AA21/AA18</f>
        <v>14.567291084854995</v>
      </c>
      <c r="AB22" s="496"/>
      <c r="AC22" s="496">
        <f>+AC21/AC18</f>
        <v>8.1476455424274974</v>
      </c>
      <c r="AD22" s="496">
        <f>+AD21/AD18</f>
        <v>5.3783866809881857</v>
      </c>
      <c r="AE22" s="496">
        <f>+AE21/AE18</f>
        <v>5.3783866809881857</v>
      </c>
      <c r="AF22" s="496">
        <f>+AF21/AF18</f>
        <v>8.1476455424274974</v>
      </c>
      <c r="AG22" s="496"/>
      <c r="AH22" s="496">
        <f>+AH21/AH18</f>
        <v>17.399487647690659</v>
      </c>
      <c r="AI22" s="496">
        <f>+AI21/AI18</f>
        <v>17.210674543501611</v>
      </c>
      <c r="AJ22" s="496">
        <f>+AJ21/AJ18</f>
        <v>16.623255997135697</v>
      </c>
      <c r="AK22" s="497">
        <f>+AK21/AK18</f>
        <v>16.581297529538134</v>
      </c>
      <c r="AL22" s="314"/>
      <c r="AM22" s="314"/>
      <c r="AN22" s="314"/>
      <c r="AO22" s="314"/>
      <c r="AP22" s="499"/>
    </row>
    <row r="23" spans="1:42" x14ac:dyDescent="0.15">
      <c r="C23" s="39" t="s">
        <v>258</v>
      </c>
      <c r="K23" s="568" t="s">
        <v>259</v>
      </c>
      <c r="L23" s="8" t="s">
        <v>108</v>
      </c>
      <c r="M23" s="52"/>
      <c r="N23" s="301">
        <v>4</v>
      </c>
      <c r="O23" s="302">
        <v>4</v>
      </c>
      <c r="P23" s="302">
        <v>4</v>
      </c>
      <c r="Q23" s="303">
        <v>4</v>
      </c>
      <c r="R23" s="302"/>
      <c r="S23" s="531">
        <v>4</v>
      </c>
      <c r="T23" s="302">
        <v>4</v>
      </c>
      <c r="U23" s="302">
        <v>4</v>
      </c>
      <c r="V23" s="302">
        <v>4</v>
      </c>
      <c r="W23" s="302"/>
      <c r="X23" s="302">
        <v>4</v>
      </c>
      <c r="Y23" s="302">
        <v>4</v>
      </c>
      <c r="Z23" s="302">
        <v>4</v>
      </c>
      <c r="AA23" s="302">
        <v>4</v>
      </c>
      <c r="AB23" s="302"/>
      <c r="AC23" s="302">
        <v>4</v>
      </c>
      <c r="AD23" s="302">
        <v>4</v>
      </c>
      <c r="AE23" s="302">
        <v>4</v>
      </c>
      <c r="AF23" s="302">
        <v>4</v>
      </c>
      <c r="AG23" s="302"/>
      <c r="AH23" s="302">
        <v>4</v>
      </c>
      <c r="AI23" s="302">
        <v>4</v>
      </c>
      <c r="AJ23" s="302">
        <v>4</v>
      </c>
      <c r="AK23" s="303">
        <v>4</v>
      </c>
      <c r="AL23" s="302"/>
      <c r="AM23" s="302"/>
      <c r="AN23" s="302"/>
      <c r="AO23" s="302"/>
      <c r="AP23" s="501"/>
    </row>
    <row r="24" spans="1:42" x14ac:dyDescent="0.15">
      <c r="C24" s="39" t="s">
        <v>260</v>
      </c>
      <c r="E24" s="39" t="s">
        <v>261</v>
      </c>
      <c r="K24" s="549"/>
      <c r="L24" s="53" t="s">
        <v>262</v>
      </c>
      <c r="M24" s="49"/>
      <c r="N24" s="316">
        <v>1</v>
      </c>
      <c r="O24" s="317">
        <v>1</v>
      </c>
      <c r="P24" s="317">
        <v>1</v>
      </c>
      <c r="Q24" s="317">
        <v>1</v>
      </c>
      <c r="R24" s="317"/>
      <c r="S24" s="317">
        <v>1</v>
      </c>
      <c r="T24" s="317">
        <v>1</v>
      </c>
      <c r="U24" s="317">
        <v>1</v>
      </c>
      <c r="V24" s="317">
        <v>1</v>
      </c>
      <c r="W24" s="317"/>
      <c r="X24" s="317">
        <v>1</v>
      </c>
      <c r="Y24" s="317">
        <v>1</v>
      </c>
      <c r="Z24" s="317">
        <v>1</v>
      </c>
      <c r="AA24" s="317">
        <v>1</v>
      </c>
      <c r="AB24" s="317"/>
      <c r="AC24" s="317">
        <v>1</v>
      </c>
      <c r="AD24" s="317">
        <v>1</v>
      </c>
      <c r="AE24" s="317">
        <v>1</v>
      </c>
      <c r="AF24" s="317">
        <v>1</v>
      </c>
      <c r="AG24" s="317"/>
      <c r="AH24" s="317">
        <v>1</v>
      </c>
      <c r="AI24" s="317">
        <v>1</v>
      </c>
      <c r="AJ24" s="317">
        <v>1</v>
      </c>
      <c r="AK24" s="502">
        <v>1</v>
      </c>
      <c r="AL24" s="317"/>
      <c r="AM24" s="317"/>
      <c r="AN24" s="317"/>
      <c r="AO24" s="317"/>
      <c r="AP24" s="504"/>
    </row>
    <row r="25" spans="1:42" x14ac:dyDescent="0.15">
      <c r="K25" s="549"/>
      <c r="L25" s="9" t="s">
        <v>263</v>
      </c>
      <c r="M25" s="46" t="s">
        <v>31</v>
      </c>
      <c r="N25" s="304">
        <f>7*N24*100</f>
        <v>700</v>
      </c>
      <c r="O25" s="305">
        <f>7*O24*100</f>
        <v>700</v>
      </c>
      <c r="P25" s="305">
        <f>7*P24*100</f>
        <v>700</v>
      </c>
      <c r="Q25" s="305">
        <f>7*Q24*100</f>
        <v>700</v>
      </c>
      <c r="R25" s="305"/>
      <c r="S25" s="305">
        <f>7*S24*100</f>
        <v>700</v>
      </c>
      <c r="T25" s="305">
        <f>7*T24*100</f>
        <v>700</v>
      </c>
      <c r="U25" s="305">
        <f>7*U24*100</f>
        <v>700</v>
      </c>
      <c r="V25" s="305">
        <f>7*V24*100</f>
        <v>700</v>
      </c>
      <c r="W25" s="305"/>
      <c r="X25" s="305">
        <f>7*X24*100</f>
        <v>700</v>
      </c>
      <c r="Y25" s="305">
        <f>7*Y24*100</f>
        <v>700</v>
      </c>
      <c r="Z25" s="305">
        <f>7*Z24*100</f>
        <v>700</v>
      </c>
      <c r="AA25" s="305">
        <f>7*AA24*100</f>
        <v>700</v>
      </c>
      <c r="AB25" s="305"/>
      <c r="AC25" s="305">
        <f>7*AC24*100</f>
        <v>700</v>
      </c>
      <c r="AD25" s="305">
        <f>7*AD24*100</f>
        <v>700</v>
      </c>
      <c r="AE25" s="305">
        <f>7*AE24*100</f>
        <v>700</v>
      </c>
      <c r="AF25" s="305">
        <f>7*AF24*100</f>
        <v>700</v>
      </c>
      <c r="AG25" s="305"/>
      <c r="AH25" s="305">
        <f>7*AH24*100</f>
        <v>700</v>
      </c>
      <c r="AI25" s="305">
        <f>7*AI24*100</f>
        <v>700</v>
      </c>
      <c r="AJ25" s="305">
        <f>7*AJ24*100</f>
        <v>700</v>
      </c>
      <c r="AK25" s="306">
        <f>7*AK24*100</f>
        <v>700</v>
      </c>
      <c r="AL25" s="305"/>
      <c r="AM25" s="305"/>
      <c r="AN25" s="305"/>
      <c r="AO25" s="305"/>
      <c r="AP25" s="491"/>
    </row>
    <row r="26" spans="1:42" x14ac:dyDescent="0.15">
      <c r="A26" s="39" t="s">
        <v>264</v>
      </c>
      <c r="K26" s="549"/>
      <c r="L26" s="9" t="s">
        <v>265</v>
      </c>
      <c r="M26" s="46" t="s">
        <v>20</v>
      </c>
      <c r="N26" s="304">
        <f>鉛直!O8</f>
        <v>1</v>
      </c>
      <c r="O26" s="305">
        <f>鉛直!P8</f>
        <v>1</v>
      </c>
      <c r="P26" s="305">
        <f>鉛直!Q8</f>
        <v>1</v>
      </c>
      <c r="Q26" s="305">
        <f>鉛直!R8</f>
        <v>1</v>
      </c>
      <c r="R26" s="305"/>
      <c r="S26" s="305">
        <v>1</v>
      </c>
      <c r="T26" s="305">
        <v>1</v>
      </c>
      <c r="U26" s="305">
        <v>1</v>
      </c>
      <c r="V26" s="305">
        <v>1</v>
      </c>
      <c r="W26" s="305"/>
      <c r="X26" s="305">
        <v>1</v>
      </c>
      <c r="Y26" s="305">
        <v>1</v>
      </c>
      <c r="Z26" s="305">
        <v>1</v>
      </c>
      <c r="AA26" s="305">
        <v>1</v>
      </c>
      <c r="AB26" s="305"/>
      <c r="AC26" s="305">
        <v>1</v>
      </c>
      <c r="AD26" s="305">
        <v>1</v>
      </c>
      <c r="AE26" s="305">
        <v>1</v>
      </c>
      <c r="AF26" s="305">
        <v>1</v>
      </c>
      <c r="AG26" s="305"/>
      <c r="AH26" s="305">
        <v>1</v>
      </c>
      <c r="AI26" s="305">
        <v>1</v>
      </c>
      <c r="AJ26" s="305">
        <v>1</v>
      </c>
      <c r="AK26" s="306">
        <v>1</v>
      </c>
      <c r="AL26" s="305"/>
      <c r="AM26" s="305"/>
      <c r="AN26" s="305"/>
      <c r="AO26" s="305"/>
      <c r="AP26" s="491"/>
    </row>
    <row r="27" spans="1:42" x14ac:dyDescent="0.15">
      <c r="B27" s="27" t="s">
        <v>266</v>
      </c>
      <c r="K27" s="545"/>
      <c r="L27" s="10" t="s">
        <v>267</v>
      </c>
      <c r="M27" s="51"/>
      <c r="N27" s="313">
        <f>ROUNDDOWN((1/30)*N23*N25*(N26*100/30)^(-3/4)*10^2,3)</f>
        <v>3783.36</v>
      </c>
      <c r="O27" s="314">
        <f>ROUNDDOWN((1/30)*O23*O25*(O26*100/30)^(-3/4)*10^2,3)</f>
        <v>3783.36</v>
      </c>
      <c r="P27" s="314">
        <f>ROUNDDOWN((1/30)*P23*P25*(P26*100/30)^(-3/4)*10^2,3)</f>
        <v>3783.36</v>
      </c>
      <c r="Q27" s="314">
        <f>ROUNDDOWN((1/30)*Q23*Q25*(Q26*100/30)^(-3/4)*10^2,3)</f>
        <v>3783.36</v>
      </c>
      <c r="R27" s="314"/>
      <c r="S27" s="314">
        <f>ROUNDDOWN((1/30)*S23*S25*(S26*100/30)^(-3/4)*10^2,3)</f>
        <v>3783.36</v>
      </c>
      <c r="T27" s="314">
        <f>ROUNDDOWN((1/30)*T23*T25*(T26*100/30)^(-3/4)*10^2,3)</f>
        <v>3783.36</v>
      </c>
      <c r="U27" s="314">
        <f>ROUNDDOWN((1/30)*U23*U25*(U26*100/30)^(-3/4)*10^2,3)</f>
        <v>3783.36</v>
      </c>
      <c r="V27" s="314">
        <f>ROUNDDOWN((1/30)*V23*V25*(V26*100/30)^(-3/4)*10^2,3)</f>
        <v>3783.36</v>
      </c>
      <c r="W27" s="314"/>
      <c r="X27" s="314">
        <f>ROUNDDOWN((1/30)*X23*X25*(X26*100/30)^(-3/4)*10^2,3)</f>
        <v>3783.36</v>
      </c>
      <c r="Y27" s="314">
        <f>ROUNDDOWN((1/30)*Y23*Y25*(Y26*100/30)^(-3/4)*10^2,3)</f>
        <v>3783.36</v>
      </c>
      <c r="Z27" s="314">
        <f>ROUNDDOWN((1/30)*Z23*Z25*(Z26*100/30)^(-3/4)*10^2,3)</f>
        <v>3783.36</v>
      </c>
      <c r="AA27" s="314">
        <f>ROUNDDOWN((1/30)*AA23*AA25*(AA26*100/30)^(-3/4)*10^2,3)</f>
        <v>3783.36</v>
      </c>
      <c r="AB27" s="314"/>
      <c r="AC27" s="314">
        <f>ROUNDDOWN((1/30)*AC23*AC25*(AC26*100/30)^(-3/4)*10^2,3)</f>
        <v>3783.36</v>
      </c>
      <c r="AD27" s="314">
        <f>ROUNDDOWN((1/30)*AD23*AD25*(AD26*100/30)^(-3/4)*10^2,3)</f>
        <v>3783.36</v>
      </c>
      <c r="AE27" s="314">
        <f>ROUNDDOWN((1/30)*AE23*AE25*(AE26*100/30)^(-3/4)*10^2,3)</f>
        <v>3783.36</v>
      </c>
      <c r="AF27" s="314">
        <f>ROUNDDOWN((1/30)*AF23*AF25*(AF26*100/30)^(-3/4)*10^2,3)</f>
        <v>3783.36</v>
      </c>
      <c r="AG27" s="314"/>
      <c r="AH27" s="314">
        <f>ROUNDDOWN((1/30)*AH23*AH25*(AH26*100/30)^(-3/4)*10^2,3)</f>
        <v>3783.36</v>
      </c>
      <c r="AI27" s="314">
        <f>ROUNDDOWN((1/30)*AI23*AI25*(AI26*100/30)^(-3/4)*10^2,3)</f>
        <v>3783.36</v>
      </c>
      <c r="AJ27" s="314">
        <f>ROUNDDOWN((1/30)*AJ23*AJ25*(AJ26*100/30)^(-3/4)*10^2,3)</f>
        <v>3783.36</v>
      </c>
      <c r="AK27" s="315">
        <f>ROUNDDOWN((1/30)*AK23*AK25*(AK26*100/30)^(-3/4)*10^2,3)</f>
        <v>3783.36</v>
      </c>
      <c r="AL27" s="314"/>
      <c r="AM27" s="314"/>
      <c r="AN27" s="314"/>
      <c r="AO27" s="314"/>
      <c r="AP27" s="499"/>
    </row>
    <row r="28" spans="1:42" x14ac:dyDescent="0.15">
      <c r="B28" s="39" t="s">
        <v>268</v>
      </c>
      <c r="K28" s="568" t="s">
        <v>269</v>
      </c>
      <c r="L28" s="8" t="s">
        <v>19</v>
      </c>
      <c r="M28" s="45" t="s">
        <v>20</v>
      </c>
      <c r="N28" s="318">
        <v>1</v>
      </c>
      <c r="O28" s="319">
        <v>1</v>
      </c>
      <c r="P28" s="319">
        <v>1</v>
      </c>
      <c r="Q28" s="319">
        <v>1</v>
      </c>
      <c r="R28" s="319"/>
      <c r="S28" s="319">
        <v>1</v>
      </c>
      <c r="T28" s="319">
        <v>1</v>
      </c>
      <c r="U28" s="319">
        <v>1</v>
      </c>
      <c r="V28" s="319">
        <v>1</v>
      </c>
      <c r="W28" s="319"/>
      <c r="X28" s="319">
        <v>1</v>
      </c>
      <c r="Y28" s="319">
        <v>1</v>
      </c>
      <c r="Z28" s="319">
        <v>1</v>
      </c>
      <c r="AA28" s="319">
        <v>1</v>
      </c>
      <c r="AB28" s="319"/>
      <c r="AC28" s="319">
        <v>1</v>
      </c>
      <c r="AD28" s="319">
        <v>1</v>
      </c>
      <c r="AE28" s="319">
        <v>1</v>
      </c>
      <c r="AF28" s="319">
        <v>1</v>
      </c>
      <c r="AG28" s="319"/>
      <c r="AH28" s="319">
        <v>1</v>
      </c>
      <c r="AI28" s="319">
        <v>1</v>
      </c>
      <c r="AJ28" s="319">
        <v>1</v>
      </c>
      <c r="AK28" s="320">
        <v>1</v>
      </c>
      <c r="AL28" s="319"/>
      <c r="AM28" s="319"/>
      <c r="AN28" s="319"/>
      <c r="AO28" s="319"/>
      <c r="AP28" s="506"/>
    </row>
    <row r="29" spans="1:42" x14ac:dyDescent="0.15">
      <c r="C29" s="39" t="s">
        <v>270</v>
      </c>
      <c r="D29" s="39" t="s">
        <v>271</v>
      </c>
      <c r="K29" s="549"/>
      <c r="L29" s="9" t="s">
        <v>265</v>
      </c>
      <c r="M29" s="46" t="s">
        <v>20</v>
      </c>
      <c r="N29" s="310">
        <v>1</v>
      </c>
      <c r="O29" s="311">
        <v>1</v>
      </c>
      <c r="P29" s="311">
        <v>1</v>
      </c>
      <c r="Q29" s="311">
        <v>1</v>
      </c>
      <c r="R29" s="311"/>
      <c r="S29" s="311">
        <v>1</v>
      </c>
      <c r="T29" s="311">
        <v>1</v>
      </c>
      <c r="U29" s="311">
        <v>1</v>
      </c>
      <c r="V29" s="311">
        <v>1</v>
      </c>
      <c r="W29" s="311"/>
      <c r="X29" s="311">
        <v>1</v>
      </c>
      <c r="Y29" s="311">
        <v>1</v>
      </c>
      <c r="Z29" s="311">
        <v>1</v>
      </c>
      <c r="AA29" s="311">
        <v>1</v>
      </c>
      <c r="AB29" s="311"/>
      <c r="AC29" s="311">
        <v>1</v>
      </c>
      <c r="AD29" s="311">
        <v>1</v>
      </c>
      <c r="AE29" s="311">
        <v>1</v>
      </c>
      <c r="AF29" s="311">
        <v>1</v>
      </c>
      <c r="AG29" s="311"/>
      <c r="AH29" s="311">
        <v>1</v>
      </c>
      <c r="AI29" s="311">
        <v>1</v>
      </c>
      <c r="AJ29" s="311">
        <v>1</v>
      </c>
      <c r="AK29" s="312">
        <v>1</v>
      </c>
      <c r="AL29" s="311"/>
      <c r="AM29" s="311"/>
      <c r="AN29" s="311"/>
      <c r="AO29" s="311"/>
      <c r="AP29" s="508"/>
    </row>
    <row r="30" spans="1:42" x14ac:dyDescent="0.15">
      <c r="B30" s="39" t="s">
        <v>272</v>
      </c>
      <c r="K30" s="549"/>
      <c r="L30" s="9" t="s">
        <v>273</v>
      </c>
      <c r="M30" s="49"/>
      <c r="N30" s="304">
        <f>N28/N29</f>
        <v>1</v>
      </c>
      <c r="O30" s="305">
        <f>O28/O29</f>
        <v>1</v>
      </c>
      <c r="P30" s="305">
        <f>P28/P29</f>
        <v>1</v>
      </c>
      <c r="Q30" s="305">
        <f>Q28/Q29</f>
        <v>1</v>
      </c>
      <c r="R30" s="305"/>
      <c r="S30" s="305">
        <f>S28/S29</f>
        <v>1</v>
      </c>
      <c r="T30" s="305">
        <f>T28/T29</f>
        <v>1</v>
      </c>
      <c r="U30" s="305">
        <f>U28/U29</f>
        <v>1</v>
      </c>
      <c r="V30" s="305">
        <f>V28/V29</f>
        <v>1</v>
      </c>
      <c r="W30" s="305"/>
      <c r="X30" s="305">
        <f>X28/X29</f>
        <v>1</v>
      </c>
      <c r="Y30" s="305">
        <f>Y28/Y29</f>
        <v>1</v>
      </c>
      <c r="Z30" s="305">
        <f>Z28/Z29</f>
        <v>1</v>
      </c>
      <c r="AA30" s="305">
        <f>AA28/AA29</f>
        <v>1</v>
      </c>
      <c r="AB30" s="305"/>
      <c r="AC30" s="305">
        <f>AC28/AC29</f>
        <v>1</v>
      </c>
      <c r="AD30" s="305">
        <f>AD28/AD29</f>
        <v>1</v>
      </c>
      <c r="AE30" s="305">
        <f>AE28/AE29</f>
        <v>1</v>
      </c>
      <c r="AF30" s="305">
        <f>AF28/AF29</f>
        <v>1</v>
      </c>
      <c r="AG30" s="305"/>
      <c r="AH30" s="305">
        <f>AH28/AH29</f>
        <v>1</v>
      </c>
      <c r="AI30" s="305">
        <f>AI28/AI29</f>
        <v>1</v>
      </c>
      <c r="AJ30" s="305">
        <f>AJ28/AJ29</f>
        <v>1</v>
      </c>
      <c r="AK30" s="306">
        <f>AK28/AK29</f>
        <v>1</v>
      </c>
      <c r="AL30" s="305"/>
      <c r="AM30" s="305"/>
      <c r="AN30" s="305"/>
      <c r="AO30" s="305"/>
      <c r="AP30" s="491"/>
    </row>
    <row r="31" spans="1:42" x14ac:dyDescent="0.15">
      <c r="C31" s="39" t="s">
        <v>274</v>
      </c>
      <c r="K31" s="549"/>
      <c r="L31" s="9" t="s">
        <v>275</v>
      </c>
      <c r="M31" s="49"/>
      <c r="N31" s="304">
        <f>ROUNDDOWN((1-0.2*(3-N30)),1)</f>
        <v>0.6</v>
      </c>
      <c r="O31" s="305">
        <f>ROUNDDOWN((1-0.2*(3-O30)),1)</f>
        <v>0.6</v>
      </c>
      <c r="P31" s="305">
        <f>ROUNDDOWN((1-0.2*(3-P30)),1)</f>
        <v>0.6</v>
      </c>
      <c r="Q31" s="305">
        <f>ROUNDDOWN((1-0.2*(3-Q30)),1)</f>
        <v>0.6</v>
      </c>
      <c r="R31" s="305"/>
      <c r="S31" s="305">
        <f>ROUNDDOWN((1-0.2*(3-S30)),1)</f>
        <v>0.6</v>
      </c>
      <c r="T31" s="305">
        <f>ROUNDDOWN((1-0.2*(3-T30)),1)</f>
        <v>0.6</v>
      </c>
      <c r="U31" s="305">
        <f>ROUNDDOWN((1-0.2*(3-U30)),1)</f>
        <v>0.6</v>
      </c>
      <c r="V31" s="305">
        <f>ROUNDDOWN((1-0.2*(3-V30)),1)</f>
        <v>0.6</v>
      </c>
      <c r="W31" s="305"/>
      <c r="X31" s="305">
        <f>ROUNDDOWN((1-0.2*(3-X30)),1)</f>
        <v>0.6</v>
      </c>
      <c r="Y31" s="305">
        <f>ROUNDDOWN((1-0.2*(3-Y30)),1)</f>
        <v>0.6</v>
      </c>
      <c r="Z31" s="305">
        <f>ROUNDDOWN((1-0.2*(3-Z30)),1)</f>
        <v>0.6</v>
      </c>
      <c r="AA31" s="305">
        <f>ROUNDDOWN((1-0.2*(3-AA30)),1)</f>
        <v>0.6</v>
      </c>
      <c r="AB31" s="305"/>
      <c r="AC31" s="305">
        <f>ROUNDDOWN((1-0.2*(3-AC30)),1)</f>
        <v>0.6</v>
      </c>
      <c r="AD31" s="305">
        <f>ROUNDDOWN((1-0.2*(3-AD30)),1)</f>
        <v>0.6</v>
      </c>
      <c r="AE31" s="305">
        <f>ROUNDDOWN((1-0.2*(3-AE30)),1)</f>
        <v>0.6</v>
      </c>
      <c r="AF31" s="305">
        <f>ROUNDDOWN((1-0.2*(3-AF30)),1)</f>
        <v>0.6</v>
      </c>
      <c r="AG31" s="305"/>
      <c r="AH31" s="305">
        <f>ROUNDDOWN((1-0.2*(3-AH30)),1)</f>
        <v>0.6</v>
      </c>
      <c r="AI31" s="305">
        <f>ROUNDDOWN((1-0.2*(3-AI30)),1)</f>
        <v>0.6</v>
      </c>
      <c r="AJ31" s="305">
        <f>ROUNDDOWN((1-0.2*(3-AJ30)),1)</f>
        <v>0.6</v>
      </c>
      <c r="AK31" s="306">
        <f>ROUNDDOWN((1-0.2*(3-AK30)),1)</f>
        <v>0.6</v>
      </c>
      <c r="AL31" s="305"/>
      <c r="AM31" s="305"/>
      <c r="AN31" s="305"/>
      <c r="AO31" s="305"/>
      <c r="AP31" s="491"/>
    </row>
    <row r="32" spans="1:42" x14ac:dyDescent="0.15">
      <c r="C32" s="39" t="s">
        <v>255</v>
      </c>
      <c r="K32" s="549"/>
      <c r="L32" s="9" t="s">
        <v>239</v>
      </c>
      <c r="M32" s="46" t="s">
        <v>20</v>
      </c>
      <c r="N32" s="304">
        <f>N10</f>
        <v>2</v>
      </c>
      <c r="O32" s="305">
        <f>O10</f>
        <v>2</v>
      </c>
      <c r="P32" s="305">
        <f>P10</f>
        <v>2</v>
      </c>
      <c r="Q32" s="305">
        <f>Q10</f>
        <v>2</v>
      </c>
      <c r="R32" s="305"/>
      <c r="S32" s="305">
        <f>S10</f>
        <v>1</v>
      </c>
      <c r="T32" s="305">
        <f>T10</f>
        <v>1</v>
      </c>
      <c r="U32" s="305">
        <f>U10</f>
        <v>1</v>
      </c>
      <c r="V32" s="305">
        <f>V10</f>
        <v>1</v>
      </c>
      <c r="W32" s="305"/>
      <c r="X32" s="305">
        <f>X10</f>
        <v>2</v>
      </c>
      <c r="Y32" s="305">
        <f>Y10</f>
        <v>3</v>
      </c>
      <c r="Z32" s="305">
        <f>Z10</f>
        <v>3</v>
      </c>
      <c r="AA32" s="305">
        <f>AA10</f>
        <v>2</v>
      </c>
      <c r="AB32" s="305"/>
      <c r="AC32" s="305">
        <f>AC10</f>
        <v>1</v>
      </c>
      <c r="AD32" s="305">
        <f>AD10</f>
        <v>1</v>
      </c>
      <c r="AE32" s="305">
        <f>AE10</f>
        <v>1</v>
      </c>
      <c r="AF32" s="305">
        <f>AF10</f>
        <v>1</v>
      </c>
      <c r="AG32" s="305"/>
      <c r="AH32" s="305">
        <f>AH10</f>
        <v>2</v>
      </c>
      <c r="AI32" s="305">
        <f>AI10</f>
        <v>3</v>
      </c>
      <c r="AJ32" s="305">
        <f>AJ10</f>
        <v>3</v>
      </c>
      <c r="AK32" s="306">
        <f>AK10</f>
        <v>2</v>
      </c>
      <c r="AL32" s="305"/>
      <c r="AM32" s="305"/>
      <c r="AN32" s="305"/>
      <c r="AO32" s="305"/>
      <c r="AP32" s="491"/>
    </row>
    <row r="33" spans="1:42" x14ac:dyDescent="0.15">
      <c r="C33" s="39" t="s">
        <v>258</v>
      </c>
      <c r="K33" s="549"/>
      <c r="L33" s="9" t="s">
        <v>276</v>
      </c>
      <c r="M33" s="49"/>
      <c r="N33" s="321">
        <f>ROUNDDOWN((1/30)*N23*N25*(N32*100/30)^(-3/4)*10^2,2)</f>
        <v>2249.59</v>
      </c>
      <c r="O33" s="322">
        <f>ROUNDDOWN((1/30)*O23*O25*(O32*100/30)^(-3/4)*10^2,2)</f>
        <v>2249.59</v>
      </c>
      <c r="P33" s="322">
        <f>ROUNDDOWN((1/30)*P23*P25*(P32*100/30)^(-3/4)*10^2,2)</f>
        <v>2249.59</v>
      </c>
      <c r="Q33" s="322">
        <f>ROUNDDOWN((1/30)*Q23*Q25*(Q32*100/30)^(-3/4)*10^2,2)</f>
        <v>2249.59</v>
      </c>
      <c r="R33" s="322"/>
      <c r="S33" s="322">
        <f>ROUNDDOWN((1/30)*S23*S25*(S32*100/30)^(-3/4)*10^2,2)</f>
        <v>3783.36</v>
      </c>
      <c r="T33" s="322">
        <f>ROUNDDOWN((1/30)*T23*T25*(T32*100/30)^(-3/4)*10^2,2)</f>
        <v>3783.36</v>
      </c>
      <c r="U33" s="322">
        <f>ROUNDDOWN((1/30)*U23*U25*(U32*100/30)^(-3/4)*10^2,2)</f>
        <v>3783.36</v>
      </c>
      <c r="V33" s="322">
        <f>ROUNDDOWN((1/30)*V23*V25*(V32*100/30)^(-3/4)*10^2,2)</f>
        <v>3783.36</v>
      </c>
      <c r="W33" s="322"/>
      <c r="X33" s="322">
        <f>ROUNDDOWN((1/30)*X23*X25*(X32*100/30)^(-3/4)*10^2,2)</f>
        <v>2249.59</v>
      </c>
      <c r="Y33" s="322">
        <f>ROUNDDOWN((1/30)*Y23*Y25*(Y32*100/30)^(-3/4)*10^2,2)</f>
        <v>1659.72</v>
      </c>
      <c r="Z33" s="322">
        <f>ROUNDDOWN((1/30)*Z23*Z25*(Z32*100/30)^(-3/4)*10^2,2)</f>
        <v>1659.72</v>
      </c>
      <c r="AA33" s="322">
        <f>ROUNDDOWN((1/30)*AA23*AA25*(AA32*100/30)^(-3/4)*10^2,2)</f>
        <v>2249.59</v>
      </c>
      <c r="AB33" s="322"/>
      <c r="AC33" s="322">
        <f>ROUNDDOWN((1/30)*AC23*AC25*(AC32*100/30)^(-3/4)*10^2,2)</f>
        <v>3783.36</v>
      </c>
      <c r="AD33" s="322">
        <f>ROUNDDOWN((1/30)*AD23*AD25*(AD32*100/30)^(-3/4)*10^2,2)</f>
        <v>3783.36</v>
      </c>
      <c r="AE33" s="322">
        <f>ROUNDDOWN((1/30)*AE23*AE25*(AE32*100/30)^(-3/4)*10^2,2)</f>
        <v>3783.36</v>
      </c>
      <c r="AF33" s="322">
        <f>ROUNDDOWN((1/30)*AF23*AF25*(AF32*100/30)^(-3/4)*10^2,2)</f>
        <v>3783.36</v>
      </c>
      <c r="AG33" s="322"/>
      <c r="AH33" s="322">
        <f>ROUNDDOWN((1/30)*AH23*AH25*(AH32*100/30)^(-3/4)*10^2,2)</f>
        <v>2249.59</v>
      </c>
      <c r="AI33" s="322">
        <f>ROUNDDOWN((1/30)*AI23*AI25*(AI32*100/30)^(-3/4)*10^2,2)</f>
        <v>1659.72</v>
      </c>
      <c r="AJ33" s="322">
        <f>ROUNDDOWN((1/30)*AJ23*AJ25*(AJ32*100/30)^(-3/4)*10^2,2)</f>
        <v>1659.72</v>
      </c>
      <c r="AK33" s="323">
        <f>ROUNDDOWN((1/30)*AK23*AK25*(AK32*100/30)^(-3/4)*10^2,2)</f>
        <v>2249.59</v>
      </c>
      <c r="AL33" s="322"/>
      <c r="AM33" s="322"/>
      <c r="AN33" s="322"/>
      <c r="AO33" s="322"/>
      <c r="AP33" s="510"/>
    </row>
    <row r="34" spans="1:42" x14ac:dyDescent="0.15">
      <c r="C34" s="39" t="s">
        <v>277</v>
      </c>
      <c r="D34" s="39" t="s">
        <v>278</v>
      </c>
      <c r="K34" s="549"/>
      <c r="L34" s="9" t="s">
        <v>279</v>
      </c>
      <c r="M34" s="49"/>
      <c r="N34" s="321">
        <f>ROUNDDOWN(N33/N27,2)</f>
        <v>0.59</v>
      </c>
      <c r="O34" s="322">
        <f>ROUNDDOWN(O33/O27,2)</f>
        <v>0.59</v>
      </c>
      <c r="P34" s="322">
        <f>ROUNDDOWN(P33/P27,2)</f>
        <v>0.59</v>
      </c>
      <c r="Q34" s="322">
        <f>ROUNDDOWN(Q33/Q27,2)</f>
        <v>0.59</v>
      </c>
      <c r="R34" s="322"/>
      <c r="S34" s="322">
        <f>ROUNDDOWN(S33/S27,2)</f>
        <v>1</v>
      </c>
      <c r="T34" s="322">
        <f>ROUNDDOWN(T33/T27,2)</f>
        <v>1</v>
      </c>
      <c r="U34" s="322">
        <f>ROUNDDOWN(U33/U27,2)</f>
        <v>1</v>
      </c>
      <c r="V34" s="322">
        <f>ROUNDDOWN(V33/V27,2)</f>
        <v>1</v>
      </c>
      <c r="W34" s="322"/>
      <c r="X34" s="322">
        <f>ROUNDDOWN(X33/X27,2)</f>
        <v>0.59</v>
      </c>
      <c r="Y34" s="322">
        <f>ROUNDDOWN(Y33/Y27,2)</f>
        <v>0.43</v>
      </c>
      <c r="Z34" s="322">
        <f>ROUNDDOWN(Z33/Z27,2)</f>
        <v>0.43</v>
      </c>
      <c r="AA34" s="322">
        <f>ROUNDDOWN(AA33/AA27,2)</f>
        <v>0.59</v>
      </c>
      <c r="AB34" s="322"/>
      <c r="AC34" s="322">
        <f>ROUNDDOWN(AC33/AC27,2)</f>
        <v>1</v>
      </c>
      <c r="AD34" s="322">
        <f>ROUNDDOWN(AD33/AD27,2)</f>
        <v>1</v>
      </c>
      <c r="AE34" s="322">
        <f>ROUNDDOWN(AE33/AE27,2)</f>
        <v>1</v>
      </c>
      <c r="AF34" s="322">
        <f>ROUNDDOWN(AF33/AF27,2)</f>
        <v>1</v>
      </c>
      <c r="AG34" s="322"/>
      <c r="AH34" s="322">
        <f>ROUNDDOWN(AH33/AH27,2)</f>
        <v>0.59</v>
      </c>
      <c r="AI34" s="322">
        <f>ROUNDDOWN(AI33/AI27,2)</f>
        <v>0.43</v>
      </c>
      <c r="AJ34" s="322">
        <f>ROUNDDOWN(AJ33/AJ27,2)</f>
        <v>0.43</v>
      </c>
      <c r="AK34" s="323">
        <f>ROUNDDOWN(AK33/AK27,2)</f>
        <v>0.59</v>
      </c>
      <c r="AL34" s="322"/>
      <c r="AM34" s="322"/>
      <c r="AN34" s="322"/>
      <c r="AO34" s="322"/>
      <c r="AP34" s="510"/>
    </row>
    <row r="35" spans="1:42" x14ac:dyDescent="0.15">
      <c r="B35" s="39" t="s">
        <v>280</v>
      </c>
      <c r="K35" s="549"/>
      <c r="L35" s="9" t="s">
        <v>281</v>
      </c>
      <c r="M35" s="49"/>
      <c r="N35" s="304">
        <f>MAX(N31,N34)</f>
        <v>0.6</v>
      </c>
      <c r="O35" s="305">
        <f>MAX(O31,O34)</f>
        <v>0.6</v>
      </c>
      <c r="P35" s="305">
        <f>MAX(P31,P34)</f>
        <v>0.6</v>
      </c>
      <c r="Q35" s="305">
        <f>MAX(Q31,Q34)</f>
        <v>0.6</v>
      </c>
      <c r="R35" s="305"/>
      <c r="S35" s="305">
        <f>MAX(S31,S34)</f>
        <v>1</v>
      </c>
      <c r="T35" s="305">
        <f>MAX(T31,T34)</f>
        <v>1</v>
      </c>
      <c r="U35" s="305">
        <f>MAX(U31,U34)</f>
        <v>1</v>
      </c>
      <c r="V35" s="305">
        <f>MAX(V31,V34)</f>
        <v>1</v>
      </c>
      <c r="W35" s="305"/>
      <c r="X35" s="305">
        <f>MAX(X31,X34)</f>
        <v>0.6</v>
      </c>
      <c r="Y35" s="305">
        <f>MAX(Y31,Y34)</f>
        <v>0.6</v>
      </c>
      <c r="Z35" s="305">
        <f>MAX(Z31,Z34)</f>
        <v>0.6</v>
      </c>
      <c r="AA35" s="305">
        <f>MAX(AA31,AA34)</f>
        <v>0.6</v>
      </c>
      <c r="AB35" s="305"/>
      <c r="AC35" s="305">
        <f>MAX(AC31,AC34)</f>
        <v>1</v>
      </c>
      <c r="AD35" s="305">
        <f>MAX(AD31,AD34)</f>
        <v>1</v>
      </c>
      <c r="AE35" s="305">
        <f>MAX(AE31,AE34)</f>
        <v>1</v>
      </c>
      <c r="AF35" s="305">
        <f>MAX(AF31,AF34)</f>
        <v>1</v>
      </c>
      <c r="AG35" s="305"/>
      <c r="AH35" s="305">
        <f>MAX(AH31,AH34)</f>
        <v>0.6</v>
      </c>
      <c r="AI35" s="305">
        <f>MAX(AI31,AI34)</f>
        <v>0.6</v>
      </c>
      <c r="AJ35" s="305">
        <f>MAX(AJ31,AJ34)</f>
        <v>0.6</v>
      </c>
      <c r="AK35" s="306">
        <f>MAX(AK31,AK34)</f>
        <v>0.6</v>
      </c>
      <c r="AL35" s="305"/>
      <c r="AM35" s="305"/>
      <c r="AN35" s="305"/>
      <c r="AO35" s="305"/>
      <c r="AP35" s="491"/>
    </row>
    <row r="36" spans="1:42" x14ac:dyDescent="0.15">
      <c r="K36" s="549"/>
      <c r="L36" s="9" t="s">
        <v>282</v>
      </c>
      <c r="M36" s="49"/>
      <c r="N36" s="304">
        <f>(1-0.3*(3-N30))</f>
        <v>0.4</v>
      </c>
      <c r="O36" s="305">
        <f>(1-0.3*(3-O30))</f>
        <v>0.4</v>
      </c>
      <c r="P36" s="305">
        <f>(1-0.3*(3-P30))</f>
        <v>0.4</v>
      </c>
      <c r="Q36" s="305">
        <f>(1-0.3*(3-Q30))</f>
        <v>0.4</v>
      </c>
      <c r="R36" s="305"/>
      <c r="S36" s="305">
        <f>(1-0.3*(3-S30))</f>
        <v>0.4</v>
      </c>
      <c r="T36" s="305">
        <f>(1-0.3*(3-T30))</f>
        <v>0.4</v>
      </c>
      <c r="U36" s="305">
        <f>(1-0.3*(3-U30))</f>
        <v>0.4</v>
      </c>
      <c r="V36" s="305">
        <f>(1-0.3*(3-V30))</f>
        <v>0.4</v>
      </c>
      <c r="W36" s="305"/>
      <c r="X36" s="305">
        <f>(1-0.3*(3-X30))</f>
        <v>0.4</v>
      </c>
      <c r="Y36" s="305">
        <f>(1-0.3*(3-Y30))</f>
        <v>0.4</v>
      </c>
      <c r="Z36" s="305">
        <f>(1-0.3*(3-Z30))</f>
        <v>0.4</v>
      </c>
      <c r="AA36" s="305">
        <f>(1-0.3*(3-AA30))</f>
        <v>0.4</v>
      </c>
      <c r="AB36" s="305"/>
      <c r="AC36" s="305">
        <f>(1-0.3*(3-AC30))</f>
        <v>0.4</v>
      </c>
      <c r="AD36" s="305">
        <f>(1-0.3*(3-AD30))</f>
        <v>0.4</v>
      </c>
      <c r="AE36" s="305">
        <f>(1-0.3*(3-AE30))</f>
        <v>0.4</v>
      </c>
      <c r="AF36" s="305">
        <f>(1-0.3*(3-AF30))</f>
        <v>0.4</v>
      </c>
      <c r="AG36" s="305"/>
      <c r="AH36" s="305">
        <f>(1-0.3*(3-AH30))</f>
        <v>0.4</v>
      </c>
      <c r="AI36" s="305">
        <f>(1-0.3*(3-AI30))</f>
        <v>0.4</v>
      </c>
      <c r="AJ36" s="305">
        <f>(1-0.3*(3-AJ30))</f>
        <v>0.4</v>
      </c>
      <c r="AK36" s="306">
        <f>(1-0.3*(3-AK30))</f>
        <v>0.4</v>
      </c>
      <c r="AL36" s="305"/>
      <c r="AM36" s="305"/>
      <c r="AN36" s="305"/>
      <c r="AO36" s="305"/>
      <c r="AP36" s="491"/>
    </row>
    <row r="37" spans="1:42" x14ac:dyDescent="0.15">
      <c r="B37" s="27" t="s">
        <v>283</v>
      </c>
      <c r="K37" s="549"/>
      <c r="L37" s="9" t="s">
        <v>284</v>
      </c>
      <c r="M37" s="49"/>
      <c r="N37" s="304">
        <f>N35*N36</f>
        <v>0.24</v>
      </c>
      <c r="O37" s="305">
        <f>O35*O36</f>
        <v>0.24</v>
      </c>
      <c r="P37" s="305">
        <f>P35*P36</f>
        <v>0.24</v>
      </c>
      <c r="Q37" s="305">
        <f>Q35*Q36</f>
        <v>0.24</v>
      </c>
      <c r="R37" s="305"/>
      <c r="S37" s="305">
        <f>S35*S36</f>
        <v>0.4</v>
      </c>
      <c r="T37" s="305">
        <f>T35*T36</f>
        <v>0.4</v>
      </c>
      <c r="U37" s="305">
        <f>U35*U36</f>
        <v>0.4</v>
      </c>
      <c r="V37" s="305">
        <f>V35*V36</f>
        <v>0.4</v>
      </c>
      <c r="W37" s="305"/>
      <c r="X37" s="305">
        <f>X35*X36</f>
        <v>0.24</v>
      </c>
      <c r="Y37" s="305">
        <f>Y35*Y36</f>
        <v>0.24</v>
      </c>
      <c r="Z37" s="305">
        <f>Z35*Z36</f>
        <v>0.24</v>
      </c>
      <c r="AA37" s="305">
        <f>AA35*AA36</f>
        <v>0.24</v>
      </c>
      <c r="AB37" s="305"/>
      <c r="AC37" s="305">
        <f>AC35*AC36</f>
        <v>0.4</v>
      </c>
      <c r="AD37" s="305">
        <f>AD35*AD36</f>
        <v>0.4</v>
      </c>
      <c r="AE37" s="305">
        <f>AE35*AE36</f>
        <v>0.4</v>
      </c>
      <c r="AF37" s="305">
        <f>AF35*AF36</f>
        <v>0.4</v>
      </c>
      <c r="AG37" s="305"/>
      <c r="AH37" s="305">
        <f>AH35*AH36</f>
        <v>0.24</v>
      </c>
      <c r="AI37" s="305">
        <f>AI35*AI36</f>
        <v>0.24</v>
      </c>
      <c r="AJ37" s="305">
        <f>AJ35*AJ36</f>
        <v>0.24</v>
      </c>
      <c r="AK37" s="306">
        <f>AK35*AK36</f>
        <v>0.24</v>
      </c>
      <c r="AL37" s="305"/>
      <c r="AM37" s="305"/>
      <c r="AN37" s="305"/>
      <c r="AO37" s="305"/>
      <c r="AP37" s="491"/>
    </row>
    <row r="38" spans="1:42" x14ac:dyDescent="0.15">
      <c r="B38" s="39" t="s">
        <v>285</v>
      </c>
      <c r="K38" s="545"/>
      <c r="L38" s="10" t="s">
        <v>286</v>
      </c>
      <c r="M38" s="51"/>
      <c r="N38" s="313">
        <f>ROUNDDOWN(N37*N27,2)</f>
        <v>908</v>
      </c>
      <c r="O38" s="314">
        <f>ROUNDDOWN(O37*O27,2)</f>
        <v>908</v>
      </c>
      <c r="P38" s="314">
        <f>ROUNDDOWN(P37*P27,2)</f>
        <v>908</v>
      </c>
      <c r="Q38" s="314">
        <f>ROUNDDOWN(Q37*Q27,2)</f>
        <v>908</v>
      </c>
      <c r="R38" s="314"/>
      <c r="S38" s="314">
        <f>ROUNDDOWN(S37*S27,2)</f>
        <v>1513.34</v>
      </c>
      <c r="T38" s="314">
        <f>ROUNDDOWN(T37*T27,2)</f>
        <v>1513.34</v>
      </c>
      <c r="U38" s="314">
        <f>ROUNDDOWN(U37*U27,2)</f>
        <v>1513.34</v>
      </c>
      <c r="V38" s="314">
        <f>ROUNDDOWN(V37*V27,2)</f>
        <v>1513.34</v>
      </c>
      <c r="W38" s="314"/>
      <c r="X38" s="314">
        <f>ROUNDDOWN(X37*X27,2)</f>
        <v>908</v>
      </c>
      <c r="Y38" s="314">
        <f>ROUNDDOWN(Y37*Y27,2)</f>
        <v>908</v>
      </c>
      <c r="Z38" s="314">
        <f>ROUNDDOWN(Z37*Z27,2)</f>
        <v>908</v>
      </c>
      <c r="AA38" s="314">
        <f>ROUNDDOWN(AA37*AA27,2)</f>
        <v>908</v>
      </c>
      <c r="AB38" s="314"/>
      <c r="AC38" s="314">
        <f>ROUNDDOWN(AC37*AC27,2)</f>
        <v>1513.34</v>
      </c>
      <c r="AD38" s="314">
        <f>ROUNDDOWN(AD37*AD27,2)</f>
        <v>1513.34</v>
      </c>
      <c r="AE38" s="314">
        <f>ROUNDDOWN(AE37*AE27,2)</f>
        <v>1513.34</v>
      </c>
      <c r="AF38" s="314">
        <f>ROUNDDOWN(AF37*AF27,2)</f>
        <v>1513.34</v>
      </c>
      <c r="AG38" s="314"/>
      <c r="AH38" s="314">
        <f>ROUNDDOWN(AH37*AH27,2)</f>
        <v>908</v>
      </c>
      <c r="AI38" s="314">
        <f>ROUNDDOWN(AI37*AI27,2)</f>
        <v>908</v>
      </c>
      <c r="AJ38" s="314">
        <f>ROUNDDOWN(AJ37*AJ27,2)</f>
        <v>908</v>
      </c>
      <c r="AK38" s="315">
        <f>ROUNDDOWN(AK37*AK27,2)</f>
        <v>908</v>
      </c>
      <c r="AL38" s="314"/>
      <c r="AM38" s="314"/>
      <c r="AN38" s="314"/>
      <c r="AO38" s="314"/>
      <c r="AP38" s="499"/>
    </row>
    <row r="39" spans="1:42" x14ac:dyDescent="0.15">
      <c r="C39" s="39" t="s">
        <v>270</v>
      </c>
      <c r="K39" s="568" t="s">
        <v>287</v>
      </c>
      <c r="L39" s="8" t="s">
        <v>30</v>
      </c>
      <c r="M39" s="45" t="s">
        <v>31</v>
      </c>
      <c r="N39" s="318">
        <v>700</v>
      </c>
      <c r="O39" s="319">
        <f t="shared" ref="O39:V39" si="1">+N39</f>
        <v>700</v>
      </c>
      <c r="P39" s="319">
        <f t="shared" si="1"/>
        <v>700</v>
      </c>
      <c r="Q39" s="319">
        <f t="shared" si="1"/>
        <v>700</v>
      </c>
      <c r="R39" s="319">
        <f t="shared" si="1"/>
        <v>700</v>
      </c>
      <c r="S39" s="319">
        <f t="shared" si="1"/>
        <v>700</v>
      </c>
      <c r="T39" s="319">
        <f t="shared" si="1"/>
        <v>700</v>
      </c>
      <c r="U39" s="319">
        <f t="shared" si="1"/>
        <v>700</v>
      </c>
      <c r="V39" s="319">
        <f t="shared" si="1"/>
        <v>700</v>
      </c>
      <c r="W39" s="319"/>
      <c r="X39" s="319">
        <v>700</v>
      </c>
      <c r="Y39" s="319">
        <f>+X39</f>
        <v>700</v>
      </c>
      <c r="Z39" s="319">
        <f>+Y39</f>
        <v>700</v>
      </c>
      <c r="AA39" s="319">
        <f>+Z39</f>
        <v>700</v>
      </c>
      <c r="AB39" s="319"/>
      <c r="AC39" s="319">
        <v>700</v>
      </c>
      <c r="AD39" s="319">
        <f>+AC39</f>
        <v>700</v>
      </c>
      <c r="AE39" s="319">
        <f>+AD39</f>
        <v>700</v>
      </c>
      <c r="AF39" s="319">
        <f>+AE39</f>
        <v>700</v>
      </c>
      <c r="AG39" s="319"/>
      <c r="AH39" s="319">
        <v>700</v>
      </c>
      <c r="AI39" s="319">
        <f>+AH39</f>
        <v>700</v>
      </c>
      <c r="AJ39" s="319">
        <f>+AI39</f>
        <v>700</v>
      </c>
      <c r="AK39" s="320">
        <f>+AJ39</f>
        <v>700</v>
      </c>
      <c r="AL39" s="319"/>
      <c r="AM39" s="319"/>
      <c r="AN39" s="319"/>
      <c r="AO39" s="319"/>
      <c r="AP39" s="506"/>
    </row>
    <row r="40" spans="1:42" x14ac:dyDescent="0.15">
      <c r="K40" s="549"/>
      <c r="L40" s="9" t="s">
        <v>288</v>
      </c>
      <c r="M40" s="46" t="s">
        <v>31</v>
      </c>
      <c r="N40" s="304">
        <f>N39*180</f>
        <v>126000</v>
      </c>
      <c r="O40" s="305">
        <f>O39*180</f>
        <v>126000</v>
      </c>
      <c r="P40" s="305">
        <f>P39*180</f>
        <v>126000</v>
      </c>
      <c r="Q40" s="305">
        <f>Q39*180</f>
        <v>126000</v>
      </c>
      <c r="R40" s="305"/>
      <c r="S40" s="305">
        <f>S39*180</f>
        <v>126000</v>
      </c>
      <c r="T40" s="305">
        <f>T39*180</f>
        <v>126000</v>
      </c>
      <c r="U40" s="305">
        <f>U39*180</f>
        <v>126000</v>
      </c>
      <c r="V40" s="305">
        <f>V39*180</f>
        <v>126000</v>
      </c>
      <c r="W40" s="305"/>
      <c r="X40" s="305">
        <f>X39*180</f>
        <v>126000</v>
      </c>
      <c r="Y40" s="305">
        <f>Y39*180</f>
        <v>126000</v>
      </c>
      <c r="Z40" s="305">
        <f>Z39*180</f>
        <v>126000</v>
      </c>
      <c r="AA40" s="305">
        <f>AA39*180</f>
        <v>126000</v>
      </c>
      <c r="AB40" s="305"/>
      <c r="AC40" s="305">
        <f>AC39*180</f>
        <v>126000</v>
      </c>
      <c r="AD40" s="305">
        <f>AD39*180</f>
        <v>126000</v>
      </c>
      <c r="AE40" s="305">
        <f>AE39*180</f>
        <v>126000</v>
      </c>
      <c r="AF40" s="305">
        <f>AF39*180</f>
        <v>126000</v>
      </c>
      <c r="AG40" s="305"/>
      <c r="AH40" s="305">
        <f>AH39*180</f>
        <v>126000</v>
      </c>
      <c r="AI40" s="305">
        <f>AI39*180</f>
        <v>126000</v>
      </c>
      <c r="AJ40" s="305">
        <f>AJ39*180</f>
        <v>126000</v>
      </c>
      <c r="AK40" s="306">
        <f>AK39*180</f>
        <v>126000</v>
      </c>
      <c r="AL40" s="305"/>
      <c r="AM40" s="305"/>
      <c r="AN40" s="305"/>
      <c r="AO40" s="305"/>
      <c r="AP40" s="491"/>
    </row>
    <row r="41" spans="1:42" x14ac:dyDescent="0.15">
      <c r="B41" s="39" t="s">
        <v>289</v>
      </c>
      <c r="K41" s="549"/>
      <c r="L41" s="9" t="s">
        <v>290</v>
      </c>
      <c r="M41" s="46" t="s">
        <v>291</v>
      </c>
      <c r="N41" s="324">
        <f>ROUNDDOWN(PI()*N26^4/64,3)</f>
        <v>4.9000000000000002E-2</v>
      </c>
      <c r="O41" s="325">
        <f>ROUNDDOWN(PI()*O26^4/64,3)</f>
        <v>4.9000000000000002E-2</v>
      </c>
      <c r="P41" s="325">
        <f>ROUNDDOWN(PI()*P26^4/64,3)</f>
        <v>4.9000000000000002E-2</v>
      </c>
      <c r="Q41" s="325">
        <f>ROUNDDOWN(PI()*Q26^4/64,3)</f>
        <v>4.9000000000000002E-2</v>
      </c>
      <c r="R41" s="325"/>
      <c r="S41" s="325">
        <f>ROUNDDOWN(PI()*S26^4/64,3)</f>
        <v>4.9000000000000002E-2</v>
      </c>
      <c r="T41" s="325">
        <f>ROUNDDOWN(PI()*T26^4/64,3)</f>
        <v>4.9000000000000002E-2</v>
      </c>
      <c r="U41" s="325">
        <f>ROUNDDOWN(PI()*U26^4/64,3)</f>
        <v>4.9000000000000002E-2</v>
      </c>
      <c r="V41" s="325">
        <f>ROUNDDOWN(PI()*V26^4/64,3)</f>
        <v>4.9000000000000002E-2</v>
      </c>
      <c r="W41" s="325"/>
      <c r="X41" s="325">
        <f>ROUNDDOWN(PI()*X26^4/64,3)</f>
        <v>4.9000000000000002E-2</v>
      </c>
      <c r="Y41" s="325">
        <f>ROUNDDOWN(PI()*Y26^4/64,3)</f>
        <v>4.9000000000000002E-2</v>
      </c>
      <c r="Z41" s="325">
        <f>ROUNDDOWN(PI()*Z26^4/64,3)</f>
        <v>4.9000000000000002E-2</v>
      </c>
      <c r="AA41" s="325">
        <f>ROUNDDOWN(PI()*AA26^4/64,3)</f>
        <v>4.9000000000000002E-2</v>
      </c>
      <c r="AB41" s="325"/>
      <c r="AC41" s="325">
        <f>ROUNDDOWN(PI()*AC26^4/64,3)</f>
        <v>4.9000000000000002E-2</v>
      </c>
      <c r="AD41" s="325">
        <f>ROUNDDOWN(PI()*AD26^4/64,3)</f>
        <v>4.9000000000000002E-2</v>
      </c>
      <c r="AE41" s="325">
        <f>ROUNDDOWN(PI()*AE26^4/64,3)</f>
        <v>4.9000000000000002E-2</v>
      </c>
      <c r="AF41" s="325">
        <f>ROUNDDOWN(PI()*AF26^4/64,3)</f>
        <v>4.9000000000000002E-2</v>
      </c>
      <c r="AG41" s="325"/>
      <c r="AH41" s="325">
        <f>ROUNDDOWN(PI()*AH26^4/64,3)</f>
        <v>4.9000000000000002E-2</v>
      </c>
      <c r="AI41" s="325">
        <f>ROUNDDOWN(PI()*AI26^4/64,3)</f>
        <v>4.9000000000000002E-2</v>
      </c>
      <c r="AJ41" s="325">
        <f>ROUNDDOWN(PI()*AJ26^4/64,3)</f>
        <v>4.9000000000000002E-2</v>
      </c>
      <c r="AK41" s="326">
        <f>ROUNDDOWN(PI()*AK26^4/64,3)</f>
        <v>4.9000000000000002E-2</v>
      </c>
      <c r="AL41" s="325"/>
      <c r="AM41" s="325"/>
      <c r="AN41" s="325"/>
      <c r="AO41" s="325"/>
      <c r="AP41" s="512"/>
    </row>
    <row r="42" spans="1:42" x14ac:dyDescent="0.15">
      <c r="B42" s="39" t="s">
        <v>292</v>
      </c>
      <c r="K42" s="549"/>
      <c r="L42" s="9" t="s">
        <v>111</v>
      </c>
      <c r="M42" s="49"/>
      <c r="N42" s="321">
        <f>ROUNDDOWN((N38*N26/4/N40/N41)^(1/4),2)</f>
        <v>0.43</v>
      </c>
      <c r="O42" s="322">
        <f>ROUNDDOWN((O38*O26/4/O40/O41)^(1/4),2)</f>
        <v>0.43</v>
      </c>
      <c r="P42" s="322">
        <f>ROUNDDOWN((P38*P26/4/P40/P41)^(1/4),2)</f>
        <v>0.43</v>
      </c>
      <c r="Q42" s="322">
        <f>ROUNDDOWN((Q38*Q26/4/Q40/Q41)^(1/4),2)</f>
        <v>0.43</v>
      </c>
      <c r="R42" s="322"/>
      <c r="S42" s="322">
        <f>ROUNDDOWN((S38*S26/4/S40/S41)^(1/4),2)</f>
        <v>0.49</v>
      </c>
      <c r="T42" s="322">
        <f>ROUNDDOWN((T38*T26/4/T40/T41)^(1/4),2)</f>
        <v>0.49</v>
      </c>
      <c r="U42" s="322">
        <f>ROUNDDOWN((U38*U26/4/U40/U41)^(1/4),2)</f>
        <v>0.49</v>
      </c>
      <c r="V42" s="322">
        <f>ROUNDDOWN((V38*V26/4/V40/V41)^(1/4),2)</f>
        <v>0.49</v>
      </c>
      <c r="W42" s="322"/>
      <c r="X42" s="322">
        <f>ROUNDDOWN((X38*X26/4/X40/X41)^(1/4),2)</f>
        <v>0.43</v>
      </c>
      <c r="Y42" s="322">
        <f>ROUNDDOWN((Y38*Y26/4/Y40/Y41)^(1/4),2)</f>
        <v>0.43</v>
      </c>
      <c r="Z42" s="322">
        <f>ROUNDDOWN((Z38*Z26/4/Z40/Z41)^(1/4),2)</f>
        <v>0.43</v>
      </c>
      <c r="AA42" s="322">
        <f>ROUNDDOWN((AA38*AA26/4/AA40/AA41)^(1/4),2)</f>
        <v>0.43</v>
      </c>
      <c r="AB42" s="322"/>
      <c r="AC42" s="322">
        <f>ROUNDDOWN((AC38*AC26/4/AC40/AC41)^(1/4),2)</f>
        <v>0.49</v>
      </c>
      <c r="AD42" s="322">
        <f>ROUNDDOWN((AD38*AD26/4/AD40/AD41)^(1/4),2)</f>
        <v>0.49</v>
      </c>
      <c r="AE42" s="322">
        <f>ROUNDDOWN((AE38*AE26/4/AE40/AE41)^(1/4),2)</f>
        <v>0.49</v>
      </c>
      <c r="AF42" s="322">
        <f>ROUNDDOWN((AF38*AF26/4/AF40/AF41)^(1/4),2)</f>
        <v>0.49</v>
      </c>
      <c r="AG42" s="322"/>
      <c r="AH42" s="322">
        <f>ROUNDDOWN((AH38*AH26/4/AH40/AH41)^(1/4),2)</f>
        <v>0.43</v>
      </c>
      <c r="AI42" s="322">
        <f>ROUNDDOWN((AI38*AI26/4/AI40/AI41)^(1/4),2)</f>
        <v>0.43</v>
      </c>
      <c r="AJ42" s="322">
        <f>ROUNDDOWN((AJ38*AJ26/4/AJ40/AJ41)^(1/4),2)</f>
        <v>0.43</v>
      </c>
      <c r="AK42" s="323">
        <f>ROUNDDOWN((AK38*AK26/4/AK40/AK41)^(1/4),2)</f>
        <v>0.43</v>
      </c>
      <c r="AL42" s="322"/>
      <c r="AM42" s="322"/>
      <c r="AN42" s="322"/>
      <c r="AO42" s="322"/>
      <c r="AP42" s="510"/>
    </row>
    <row r="43" spans="1:42" x14ac:dyDescent="0.15">
      <c r="K43" s="549"/>
      <c r="L43" s="9" t="s">
        <v>26</v>
      </c>
      <c r="M43" s="46" t="s">
        <v>20</v>
      </c>
      <c r="N43" s="304">
        <f>鉛直!O10</f>
        <v>8</v>
      </c>
      <c r="O43" s="305">
        <f>鉛直!P10</f>
        <v>9.02</v>
      </c>
      <c r="P43" s="305">
        <f>鉛直!Q10</f>
        <v>9.02</v>
      </c>
      <c r="Q43" s="305">
        <f>鉛直!R10</f>
        <v>9.02</v>
      </c>
      <c r="R43" s="305"/>
      <c r="S43" s="305">
        <v>16.2</v>
      </c>
      <c r="T43" s="305">
        <v>16.2</v>
      </c>
      <c r="U43" s="305">
        <v>16.2</v>
      </c>
      <c r="V43" s="305">
        <v>16.2</v>
      </c>
      <c r="W43" s="305"/>
      <c r="X43" s="305">
        <v>16.2</v>
      </c>
      <c r="Y43" s="305">
        <v>16.2</v>
      </c>
      <c r="Z43" s="305">
        <v>16.2</v>
      </c>
      <c r="AA43" s="305">
        <v>16.2</v>
      </c>
      <c r="AB43" s="305"/>
      <c r="AC43" s="305">
        <v>16.2</v>
      </c>
      <c r="AD43" s="305">
        <v>16.2</v>
      </c>
      <c r="AE43" s="305">
        <v>16.2</v>
      </c>
      <c r="AF43" s="305">
        <v>16.2</v>
      </c>
      <c r="AG43" s="305"/>
      <c r="AH43" s="305">
        <v>16.2</v>
      </c>
      <c r="AI43" s="305">
        <v>16.2</v>
      </c>
      <c r="AJ43" s="305">
        <v>16.2</v>
      </c>
      <c r="AK43" s="306">
        <v>16.2</v>
      </c>
      <c r="AL43" s="305"/>
      <c r="AM43" s="305"/>
      <c r="AN43" s="305"/>
      <c r="AO43" s="305"/>
      <c r="AP43" s="491"/>
    </row>
    <row r="44" spans="1:42" x14ac:dyDescent="0.15">
      <c r="A44" s="39" t="s">
        <v>293</v>
      </c>
      <c r="K44" s="549"/>
      <c r="L44" s="9" t="s">
        <v>294</v>
      </c>
      <c r="M44" s="49"/>
      <c r="N44" s="304">
        <f>ROUNDDOWN(N42*N43,1)</f>
        <v>3.4</v>
      </c>
      <c r="O44" s="305">
        <f>ROUNDDOWN(O42*O43,1)</f>
        <v>3.8</v>
      </c>
      <c r="P44" s="305">
        <f>ROUNDDOWN(P42*P43,1)</f>
        <v>3.8</v>
      </c>
      <c r="Q44" s="305">
        <f>ROUNDDOWN(Q42*Q43,1)</f>
        <v>3.8</v>
      </c>
      <c r="R44" s="305"/>
      <c r="S44" s="305">
        <f>ROUNDDOWN(S42*S43,1)</f>
        <v>7.9</v>
      </c>
      <c r="T44" s="305">
        <f>ROUNDDOWN(T42*T43,1)</f>
        <v>7.9</v>
      </c>
      <c r="U44" s="305">
        <f>ROUNDDOWN(U42*U43,1)</f>
        <v>7.9</v>
      </c>
      <c r="V44" s="305">
        <f>ROUNDDOWN(V42*V43,1)</f>
        <v>7.9</v>
      </c>
      <c r="W44" s="305"/>
      <c r="X44" s="305">
        <f>ROUNDDOWN(X42*X43,1)</f>
        <v>6.9</v>
      </c>
      <c r="Y44" s="305">
        <f>ROUNDDOWN(Y42*Y43,1)</f>
        <v>6.9</v>
      </c>
      <c r="Z44" s="305">
        <f>ROUNDDOWN(Z42*Z43,1)</f>
        <v>6.9</v>
      </c>
      <c r="AA44" s="305">
        <f>ROUNDDOWN(AA42*AA43,1)</f>
        <v>6.9</v>
      </c>
      <c r="AB44" s="305"/>
      <c r="AC44" s="305">
        <f>ROUNDDOWN(AC42*AC43,1)</f>
        <v>7.9</v>
      </c>
      <c r="AD44" s="305">
        <f>ROUNDDOWN(AD42*AD43,1)</f>
        <v>7.9</v>
      </c>
      <c r="AE44" s="305">
        <f>ROUNDDOWN(AE42*AE43,1)</f>
        <v>7.9</v>
      </c>
      <c r="AF44" s="305">
        <f>ROUNDDOWN(AF42*AF43,1)</f>
        <v>7.9</v>
      </c>
      <c r="AG44" s="305"/>
      <c r="AH44" s="305">
        <f>ROUNDDOWN(AH42*AH43,1)</f>
        <v>6.9</v>
      </c>
      <c r="AI44" s="305">
        <f>ROUNDDOWN(AI42*AI43,1)</f>
        <v>6.9</v>
      </c>
      <c r="AJ44" s="305">
        <f>ROUNDDOWN(AJ42*AJ43,1)</f>
        <v>6.9</v>
      </c>
      <c r="AK44" s="306">
        <f>ROUNDDOWN(AK42*AK43,1)</f>
        <v>6.9</v>
      </c>
      <c r="AL44" s="305"/>
      <c r="AM44" s="305"/>
      <c r="AN44" s="305"/>
      <c r="AO44" s="305"/>
      <c r="AP44" s="491"/>
    </row>
    <row r="45" spans="1:42" x14ac:dyDescent="0.15">
      <c r="B45" s="27" t="s">
        <v>295</v>
      </c>
      <c r="K45" s="549"/>
      <c r="L45" s="9" t="s">
        <v>296</v>
      </c>
      <c r="M45" s="49"/>
      <c r="N45" s="324">
        <f>IF($E$54=0.25,IF(N44&lt;5,VLOOKUP(N44,Sheet3!$A$5:$I$50,2,0),Sheet3!$B$50),IF(N44&lt;5,VLOOKUP(N44,Sheet3!$A$5:$I$50,6,0),Sheet3!$F$50))</f>
        <v>0.64700000000000002</v>
      </c>
      <c r="O45" s="325">
        <f>IF($E$54=0.25,IF(O44&lt;5,VLOOKUP(O44,Sheet3!$A$5:$I$50,2,0),Sheet3!$B$50),IF(O44&lt;5,VLOOKUP(O44,Sheet3!$A$5:$I$50,6,0),Sheet3!$F$50))</f>
        <v>0.64500000000000002</v>
      </c>
      <c r="P45" s="325">
        <f>IF($E$54=0.25,IF(P44&lt;5,VLOOKUP(P44,Sheet3!$A$5:$I$50,2,0),Sheet3!$B$50),IF(P44&lt;5,VLOOKUP(P44,Sheet3!$A$5:$I$50,6,0),Sheet3!$F$50))</f>
        <v>0.64500000000000002</v>
      </c>
      <c r="Q45" s="325">
        <f>IF($E$54=0.25,IF(Q44&lt;5,VLOOKUP(Q44,Sheet3!$A$5:$I$50,2,0),Sheet3!$B$50),IF(Q44&lt;5,VLOOKUP(Q44,Sheet3!$A$5:$I$50,6,0),Sheet3!$F$50))</f>
        <v>0.64500000000000002</v>
      </c>
      <c r="R45" s="325"/>
      <c r="S45" s="325">
        <f>IF($E$54=0.25,IF(S44&lt;5,VLOOKUP(S44,Sheet3!$A$5:$I$50,2,0),Sheet3!$B$50),IF(S44&lt;5,VLOOKUP(S44,Sheet3!$A$5:$I$50,6,0),Sheet3!$F$50))</f>
        <v>0.64500000000000002</v>
      </c>
      <c r="T45" s="325">
        <f>IF($E$54=0.25,IF(T44&lt;5,VLOOKUP(T44,Sheet3!$A$5:$I$50,2,0),Sheet3!$B$50),IF(T44&lt;5,VLOOKUP(T44,Sheet3!$A$5:$I$50,6,0),Sheet3!$F$50))</f>
        <v>0.64500000000000002</v>
      </c>
      <c r="U45" s="325">
        <f>IF($E$54=0.25,IF(U44&lt;5,VLOOKUP(U44,Sheet3!$A$5:$I$50,2,0),Sheet3!$B$50),IF(U44&lt;5,VLOOKUP(U44,Sheet3!$A$5:$I$50,6,0),Sheet3!$F$50))</f>
        <v>0.64500000000000002</v>
      </c>
      <c r="V45" s="325">
        <f>IF($E$54=0.25,IF(V44&lt;5,VLOOKUP(V44,Sheet3!$A$5:$I$50,2,0),Sheet3!$B$50),IF(V44&lt;5,VLOOKUP(V44,Sheet3!$A$5:$I$50,6,0),Sheet3!$F$50))</f>
        <v>0.64500000000000002</v>
      </c>
      <c r="W45" s="325"/>
      <c r="X45" s="325">
        <f>IF($E$54=0.25,IF(X44&lt;5,VLOOKUP(X44,Sheet3!$A$5:$I$50,2,0),Sheet3!$B$50),IF(X44&lt;5,VLOOKUP(X44,Sheet3!$A$5:$I$50,6,0),Sheet3!$F$50))</f>
        <v>0.64500000000000002</v>
      </c>
      <c r="Y45" s="325">
        <f>IF($E$54=0.25,IF(Y44&lt;5,VLOOKUP(Y44,Sheet3!$A$5:$I$50,2,0),Sheet3!$B$50),IF(Y44&lt;5,VLOOKUP(Y44,Sheet3!$A$5:$I$50,6,0),Sheet3!$F$50))</f>
        <v>0.64500000000000002</v>
      </c>
      <c r="Z45" s="325">
        <f>IF($E$54=0.25,IF(Z44&lt;5,VLOOKUP(Z44,Sheet3!$A$5:$I$50,2,0),Sheet3!$B$50),IF(Z44&lt;5,VLOOKUP(Z44,Sheet3!$A$5:$I$50,6,0),Sheet3!$F$50))</f>
        <v>0.64500000000000002</v>
      </c>
      <c r="AA45" s="325">
        <f>IF($E$54=0.25,IF(AA44&lt;5,VLOOKUP(AA44,Sheet3!$A$5:$I$50,2,0),Sheet3!$B$50),IF(AA44&lt;5,VLOOKUP(AA44,Sheet3!$A$5:$I$50,6,0),Sheet3!$F$50))</f>
        <v>0.64500000000000002</v>
      </c>
      <c r="AB45" s="325"/>
      <c r="AC45" s="325">
        <f>IF($E$54=0.25,IF(AC44&lt;5,VLOOKUP(AC44,Sheet3!$A$5:$I$50,2,0),Sheet3!$B$50),IF(AC44&lt;5,VLOOKUP(AC44,Sheet3!$A$5:$I$50,6,0),Sheet3!$F$50))</f>
        <v>0.64500000000000002</v>
      </c>
      <c r="AD45" s="325">
        <f>IF($E$54=0.25,IF(AD44&lt;5,VLOOKUP(AD44,Sheet3!$A$5:$I$50,2,0),Sheet3!$B$50),IF(AD44&lt;5,VLOOKUP(AD44,Sheet3!$A$5:$I$50,6,0),Sheet3!$F$50))</f>
        <v>0.64500000000000002</v>
      </c>
      <c r="AE45" s="325">
        <f>IF($E$54=0.25,IF(AE44&lt;5,VLOOKUP(AE44,Sheet3!$A$5:$I$50,2,0),Sheet3!$B$50),IF(AE44&lt;5,VLOOKUP(AE44,Sheet3!$A$5:$I$50,6,0),Sheet3!$F$50))</f>
        <v>0.64500000000000002</v>
      </c>
      <c r="AF45" s="325">
        <f>IF($E$54=0.25,IF(AF44&lt;5,VLOOKUP(AF44,Sheet3!$A$5:$I$50,2,0),Sheet3!$B$50),IF(AF44&lt;5,VLOOKUP(AF44,Sheet3!$A$5:$I$50,6,0),Sheet3!$F$50))</f>
        <v>0.64500000000000002</v>
      </c>
      <c r="AG45" s="325"/>
      <c r="AH45" s="325">
        <f>IF($E$54=0.25,IF(AH44&lt;5,VLOOKUP(AH44,Sheet3!$A$5:$I$50,2,0),Sheet3!$B$50),IF(AH44&lt;5,VLOOKUP(AH44,Sheet3!$A$5:$I$50,6,0),Sheet3!$F$50))</f>
        <v>0.64500000000000002</v>
      </c>
      <c r="AI45" s="325">
        <f>IF($E$54=0.25,IF(AI44&lt;5,VLOOKUP(AI44,Sheet3!$A$5:$I$50,2,0),Sheet3!$B$50),IF(AI44&lt;5,VLOOKUP(AI44,Sheet3!$A$5:$I$50,6,0),Sheet3!$F$50))</f>
        <v>0.64500000000000002</v>
      </c>
      <c r="AJ45" s="325">
        <f>IF($E$54=0.25,IF(AJ44&lt;5,VLOOKUP(AJ44,Sheet3!$A$5:$I$50,2,0),Sheet3!$B$50),IF(AJ44&lt;5,VLOOKUP(AJ44,Sheet3!$A$5:$I$50,6,0),Sheet3!$F$50))</f>
        <v>0.64500000000000002</v>
      </c>
      <c r="AK45" s="326">
        <f>IF($E$54=0.25,IF(AK44&lt;5,VLOOKUP(AK44,Sheet3!$A$5:$I$50,2,0),Sheet3!$B$50),IF(AK44&lt;5,VLOOKUP(AK44,Sheet3!$A$5:$I$50,6,0),Sheet3!$F$50))</f>
        <v>0.64500000000000002</v>
      </c>
      <c r="AL45" s="325"/>
      <c r="AM45" s="325"/>
      <c r="AN45" s="325"/>
      <c r="AO45" s="325"/>
      <c r="AP45" s="512"/>
    </row>
    <row r="46" spans="1:42" x14ac:dyDescent="0.15">
      <c r="B46" s="39" t="s">
        <v>297</v>
      </c>
      <c r="F46" s="39" t="s">
        <v>298</v>
      </c>
      <c r="K46" s="549"/>
      <c r="L46" s="9" t="s">
        <v>299</v>
      </c>
      <c r="M46" s="49"/>
      <c r="N46" s="324">
        <f>IF($E$54=0.25,IF(N44&lt;5,VLOOKUP(N44,Sheet3!$A$5:$I$50,3,0),Sheet3!$C$50),IF(N44&lt;5,VLOOKUP(N44,Sheet3!$A$5:$I$50,7,0),Sheet3!$G$50))</f>
        <v>0</v>
      </c>
      <c r="O46" s="325">
        <f>IF($E$54=0.25,IF(O44&lt;5,VLOOKUP(O44,Sheet3!$A$5:$I$50,3,0),Sheet3!$C$50),IF(O44&lt;5,VLOOKUP(O44,Sheet3!$A$5:$I$50,7,0),Sheet3!$G$50))</f>
        <v>0</v>
      </c>
      <c r="P46" s="325">
        <f>IF($E$54=0.25,IF(P44&lt;5,VLOOKUP(P44,Sheet3!$A$5:$I$50,3,0),Sheet3!$C$50),IF(P44&lt;5,VLOOKUP(P44,Sheet3!$A$5:$I$50,7,0),Sheet3!$G$50))</f>
        <v>0</v>
      </c>
      <c r="Q46" s="325">
        <f>IF($E$54=0.25,IF(Q44&lt;5,VLOOKUP(Q44,Sheet3!$A$5:$I$50,3,0),Sheet3!$C$50),IF(Q44&lt;5,VLOOKUP(Q44,Sheet3!$A$5:$I$50,7,0),Sheet3!$G$50))</f>
        <v>0</v>
      </c>
      <c r="R46" s="325"/>
      <c r="S46" s="325">
        <f>IF($E$54=0.25,IF(S44&lt;5,VLOOKUP(S44,Sheet3!$A$5:$I$50,3,0),Sheet3!$C$50),IF(S44&lt;5,VLOOKUP(S44,Sheet3!$A$5:$I$50,7,0),Sheet3!$G$50))</f>
        <v>0</v>
      </c>
      <c r="T46" s="325">
        <f>IF($E$54=0.25,IF(T44&lt;5,VLOOKUP(T44,Sheet3!$A$5:$I$50,3,0),Sheet3!$C$50),IF(T44&lt;5,VLOOKUP(T44,Sheet3!$A$5:$I$50,7,0),Sheet3!$G$50))</f>
        <v>0</v>
      </c>
      <c r="U46" s="325">
        <f>IF($E$54=0.25,IF(U44&lt;5,VLOOKUP(U44,Sheet3!$A$5:$I$50,3,0),Sheet3!$C$50),IF(U44&lt;5,VLOOKUP(U44,Sheet3!$A$5:$I$50,7,0),Sheet3!$G$50))</f>
        <v>0</v>
      </c>
      <c r="V46" s="325">
        <f>IF($E$54=0.25,IF(V44&lt;5,VLOOKUP(V44,Sheet3!$A$5:$I$50,3,0),Sheet3!$C$50),IF(V44&lt;5,VLOOKUP(V44,Sheet3!$A$5:$I$50,7,0),Sheet3!$G$50))</f>
        <v>0</v>
      </c>
      <c r="W46" s="325"/>
      <c r="X46" s="325">
        <f>IF($E$54=0.25,IF(X44&lt;5,VLOOKUP(X44,Sheet3!$A$5:$I$50,3,0),Sheet3!$C$50),IF(X44&lt;5,VLOOKUP(X44,Sheet3!$A$5:$I$50,7,0),Sheet3!$G$50))</f>
        <v>0</v>
      </c>
      <c r="Y46" s="325">
        <f>IF($E$54=0.25,IF(Y44&lt;5,VLOOKUP(Y44,Sheet3!$A$5:$I$50,3,0),Sheet3!$C$50),IF(Y44&lt;5,VLOOKUP(Y44,Sheet3!$A$5:$I$50,7,0),Sheet3!$G$50))</f>
        <v>0</v>
      </c>
      <c r="Z46" s="325">
        <f>IF($E$54=0.25,IF(Z44&lt;5,VLOOKUP(Z44,Sheet3!$A$5:$I$50,3,0),Sheet3!$C$50),IF(Z44&lt;5,VLOOKUP(Z44,Sheet3!$A$5:$I$50,7,0),Sheet3!$G$50))</f>
        <v>0</v>
      </c>
      <c r="AA46" s="325">
        <f>IF($E$54=0.25,IF(AA44&lt;5,VLOOKUP(AA44,Sheet3!$A$5:$I$50,3,0),Sheet3!$C$50),IF(AA44&lt;5,VLOOKUP(AA44,Sheet3!$A$5:$I$50,7,0),Sheet3!$G$50))</f>
        <v>0</v>
      </c>
      <c r="AB46" s="325"/>
      <c r="AC46" s="325">
        <f>IF($E$54=0.25,IF(AC44&lt;5,VLOOKUP(AC44,Sheet3!$A$5:$I$50,3,0),Sheet3!$C$50),IF(AC44&lt;5,VLOOKUP(AC44,Sheet3!$A$5:$I$50,7,0),Sheet3!$G$50))</f>
        <v>0</v>
      </c>
      <c r="AD46" s="325">
        <f>IF($E$54=0.25,IF(AD44&lt;5,VLOOKUP(AD44,Sheet3!$A$5:$I$50,3,0),Sheet3!$C$50),IF(AD44&lt;5,VLOOKUP(AD44,Sheet3!$A$5:$I$50,7,0),Sheet3!$G$50))</f>
        <v>0</v>
      </c>
      <c r="AE46" s="325">
        <f>IF($E$54=0.25,IF(AE44&lt;5,VLOOKUP(AE44,Sheet3!$A$5:$I$50,3,0),Sheet3!$C$50),IF(AE44&lt;5,VLOOKUP(AE44,Sheet3!$A$5:$I$50,7,0),Sheet3!$G$50))</f>
        <v>0</v>
      </c>
      <c r="AF46" s="325">
        <f>IF($E$54=0.25,IF(AF44&lt;5,VLOOKUP(AF44,Sheet3!$A$5:$I$50,3,0),Sheet3!$C$50),IF(AF44&lt;5,VLOOKUP(AF44,Sheet3!$A$5:$I$50,7,0),Sheet3!$G$50))</f>
        <v>0</v>
      </c>
      <c r="AG46" s="325"/>
      <c r="AH46" s="325">
        <f>IF($E$54=0.25,IF(AH44&lt;5,VLOOKUP(AH44,Sheet3!$A$5:$I$50,3,0),Sheet3!$C$50),IF(AH44&lt;5,VLOOKUP(AH44,Sheet3!$A$5:$I$50,7,0),Sheet3!$G$50))</f>
        <v>0</v>
      </c>
      <c r="AI46" s="325">
        <f>IF($E$54=0.25,IF(AI44&lt;5,VLOOKUP(AI44,Sheet3!$A$5:$I$50,3,0),Sheet3!$C$50),IF(AI44&lt;5,VLOOKUP(AI44,Sheet3!$A$5:$I$50,7,0),Sheet3!$G$50))</f>
        <v>0</v>
      </c>
      <c r="AJ46" s="325">
        <f>IF($E$54=0.25,IF(AJ44&lt;5,VLOOKUP(AJ44,Sheet3!$A$5:$I$50,3,0),Sheet3!$C$50),IF(AJ44&lt;5,VLOOKUP(AJ44,Sheet3!$A$5:$I$50,7,0),Sheet3!$G$50))</f>
        <v>0</v>
      </c>
      <c r="AK46" s="326">
        <f>IF($E$54=0.25,IF(AK44&lt;5,VLOOKUP(AK44,Sheet3!$A$5:$I$50,3,0),Sheet3!$C$50),IF(AK44&lt;5,VLOOKUP(AK44,Sheet3!$A$5:$I$50,7,0),Sheet3!$G$50))</f>
        <v>0</v>
      </c>
      <c r="AL46" s="325"/>
      <c r="AM46" s="325"/>
      <c r="AN46" s="325"/>
      <c r="AO46" s="325"/>
      <c r="AP46" s="512"/>
    </row>
    <row r="47" spans="1:42" x14ac:dyDescent="0.15">
      <c r="B47" s="39" t="s">
        <v>300</v>
      </c>
      <c r="F47" s="39" t="s">
        <v>298</v>
      </c>
      <c r="K47" s="549"/>
      <c r="L47" s="9" t="s">
        <v>301</v>
      </c>
      <c r="M47" s="49"/>
      <c r="N47" s="324">
        <f>$E$54</f>
        <v>0</v>
      </c>
      <c r="O47" s="325">
        <f>$E$54</f>
        <v>0</v>
      </c>
      <c r="P47" s="325">
        <f>$E$54</f>
        <v>0</v>
      </c>
      <c r="Q47" s="325">
        <f>$E$54</f>
        <v>0</v>
      </c>
      <c r="R47" s="325"/>
      <c r="S47" s="325">
        <f>$E$54</f>
        <v>0</v>
      </c>
      <c r="T47" s="325">
        <f>$E$54</f>
        <v>0</v>
      </c>
      <c r="U47" s="325">
        <f>$E$54</f>
        <v>0</v>
      </c>
      <c r="V47" s="325">
        <f>$E$54</f>
        <v>0</v>
      </c>
      <c r="W47" s="325"/>
      <c r="X47" s="325">
        <f>$E$54</f>
        <v>0</v>
      </c>
      <c r="Y47" s="325">
        <f>$E$54</f>
        <v>0</v>
      </c>
      <c r="Z47" s="325">
        <f>$E$54</f>
        <v>0</v>
      </c>
      <c r="AA47" s="325">
        <f>$E$54</f>
        <v>0</v>
      </c>
      <c r="AB47" s="325"/>
      <c r="AC47" s="325">
        <f>$E$54</f>
        <v>0</v>
      </c>
      <c r="AD47" s="325">
        <f>$E$54</f>
        <v>0</v>
      </c>
      <c r="AE47" s="325">
        <f>$E$54</f>
        <v>0</v>
      </c>
      <c r="AF47" s="325">
        <f>$E$54</f>
        <v>0</v>
      </c>
      <c r="AG47" s="325"/>
      <c r="AH47" s="325">
        <f>$E$54</f>
        <v>0</v>
      </c>
      <c r="AI47" s="325">
        <f>$E$54</f>
        <v>0</v>
      </c>
      <c r="AJ47" s="325">
        <f>$E$54</f>
        <v>0</v>
      </c>
      <c r="AK47" s="326">
        <f>$E$54</f>
        <v>0</v>
      </c>
      <c r="AL47" s="325"/>
      <c r="AM47" s="325"/>
      <c r="AN47" s="325"/>
      <c r="AO47" s="325"/>
      <c r="AP47" s="512"/>
    </row>
    <row r="48" spans="1:42" x14ac:dyDescent="0.15">
      <c r="B48" s="39" t="s">
        <v>302</v>
      </c>
      <c r="F48" s="39" t="s">
        <v>298</v>
      </c>
      <c r="K48" s="549"/>
      <c r="L48" s="9" t="s">
        <v>303</v>
      </c>
      <c r="M48" s="46" t="s">
        <v>304</v>
      </c>
      <c r="N48" s="321">
        <f>ROUNDDOWN(N22/2/N42*N45,2)</f>
        <v>11.1</v>
      </c>
      <c r="O48" s="322">
        <f>ROUNDDOWN(O22/2/O42*O45,2)</f>
        <v>18.64</v>
      </c>
      <c r="P48" s="322">
        <f>ROUNDDOWN(P22/2/P42*P45,2)</f>
        <v>8.89</v>
      </c>
      <c r="Q48" s="322">
        <f>ROUNDDOWN(Q22/2/Q42*Q45,2)</f>
        <v>3.53</v>
      </c>
      <c r="R48" s="322"/>
      <c r="S48" s="322">
        <f>ROUNDDOWN(S22/2/S42*S45,2)</f>
        <v>6.43</v>
      </c>
      <c r="T48" s="322">
        <f>ROUNDDOWN(T22/2/T42*T45,2)</f>
        <v>4.6900000000000004</v>
      </c>
      <c r="U48" s="322">
        <f>ROUNDDOWN(U22/2/U42*U45,2)</f>
        <v>4.78</v>
      </c>
      <c r="V48" s="322">
        <f>ROUNDDOWN(V22/2/V42*V45,2)</f>
        <v>6.52</v>
      </c>
      <c r="W48" s="322"/>
      <c r="X48" s="322">
        <f>ROUNDDOWN(X22/2/X42*X45,2)</f>
        <v>11.72</v>
      </c>
      <c r="Y48" s="322">
        <f>ROUNDDOWN(Y22/2/Y42*Y45,2)</f>
        <v>10.57</v>
      </c>
      <c r="Z48" s="322">
        <f>ROUNDDOWN(Z22/2/Z42*Z45,2)</f>
        <v>10.17</v>
      </c>
      <c r="AA48" s="322">
        <f>ROUNDDOWN(AA22/2/AA42*AA45,2)</f>
        <v>10.92</v>
      </c>
      <c r="AB48" s="322"/>
      <c r="AC48" s="322">
        <f>ROUNDDOWN(AC22/2/AC42*AC45,2)</f>
        <v>5.36</v>
      </c>
      <c r="AD48" s="322">
        <f>ROUNDDOWN(AD22/2/AD42*AD45,2)</f>
        <v>3.53</v>
      </c>
      <c r="AE48" s="322">
        <f>ROUNDDOWN(AE22/2/AE42*AE45,2)</f>
        <v>3.53</v>
      </c>
      <c r="AF48" s="322">
        <f>ROUNDDOWN(AF22/2/AF42*AF45,2)</f>
        <v>5.36</v>
      </c>
      <c r="AG48" s="322"/>
      <c r="AH48" s="322">
        <f>ROUNDDOWN(AH22/2/AH42*AH45,2)</f>
        <v>13.04</v>
      </c>
      <c r="AI48" s="322">
        <f>ROUNDDOWN(AI22/2/AI42*AI45,2)</f>
        <v>12.9</v>
      </c>
      <c r="AJ48" s="322">
        <f>ROUNDDOWN(AJ22/2/AJ42*AJ45,2)</f>
        <v>12.46</v>
      </c>
      <c r="AK48" s="323">
        <f>ROUNDDOWN(AK22/2/AK42*AK45,2)</f>
        <v>12.43</v>
      </c>
      <c r="AL48" s="322"/>
      <c r="AM48" s="322"/>
      <c r="AN48" s="322"/>
      <c r="AO48" s="322"/>
      <c r="AP48" s="510"/>
    </row>
    <row r="49" spans="1:42" ht="13.5" customHeight="1" x14ac:dyDescent="0.15">
      <c r="C49" s="39" t="s">
        <v>305</v>
      </c>
      <c r="G49" s="39" t="s">
        <v>237</v>
      </c>
      <c r="K49" s="549"/>
      <c r="L49" s="9" t="s">
        <v>306</v>
      </c>
      <c r="M49" s="46" t="s">
        <v>304</v>
      </c>
      <c r="N49" s="321">
        <f>ROUNDDOWN(N22/2/N42*N46,2)</f>
        <v>0</v>
      </c>
      <c r="O49" s="322">
        <f>ROUNDDOWN(O22/2/O42*O46,2)</f>
        <v>0</v>
      </c>
      <c r="P49" s="322">
        <f>ROUNDDOWN(P22/2/P42*P46,2)</f>
        <v>0</v>
      </c>
      <c r="Q49" s="322">
        <f>ROUNDDOWN(Q22/2/Q42*Q46,2)</f>
        <v>0</v>
      </c>
      <c r="R49" s="322"/>
      <c r="S49" s="322">
        <f>ROUNDDOWN(S22/2/S42*S46,2)</f>
        <v>0</v>
      </c>
      <c r="T49" s="322">
        <f>ROUNDDOWN(T22/2/T42*T46,2)</f>
        <v>0</v>
      </c>
      <c r="U49" s="322">
        <f>ROUNDDOWN(U22/2/U42*U46,2)</f>
        <v>0</v>
      </c>
      <c r="V49" s="322">
        <f>ROUNDDOWN(V22/2/V42*V46,2)</f>
        <v>0</v>
      </c>
      <c r="W49" s="322"/>
      <c r="X49" s="322">
        <f>ROUNDDOWN(X22/2/X42*X46,2)</f>
        <v>0</v>
      </c>
      <c r="Y49" s="322">
        <f>ROUNDDOWN(Y22/2/Y42*Y46,2)</f>
        <v>0</v>
      </c>
      <c r="Z49" s="322">
        <f>ROUNDDOWN(Z22/2/Z42*Z46,2)</f>
        <v>0</v>
      </c>
      <c r="AA49" s="322">
        <f>ROUNDDOWN(AA22/2/AA42*AA46,2)</f>
        <v>0</v>
      </c>
      <c r="AB49" s="322"/>
      <c r="AC49" s="322">
        <f>ROUNDDOWN(AC22/2/AC42*AC46,2)</f>
        <v>0</v>
      </c>
      <c r="AD49" s="322">
        <f>ROUNDDOWN(AD22/2/AD42*AD46,2)</f>
        <v>0</v>
      </c>
      <c r="AE49" s="322">
        <f>ROUNDDOWN(AE22/2/AE42*AE46,2)</f>
        <v>0</v>
      </c>
      <c r="AF49" s="322">
        <f>ROUNDDOWN(AF22/2/AF42*AF46,2)</f>
        <v>0</v>
      </c>
      <c r="AG49" s="322"/>
      <c r="AH49" s="322">
        <f>ROUNDDOWN(AH22/2/AH42*AH46,2)</f>
        <v>0</v>
      </c>
      <c r="AI49" s="322">
        <f>ROUNDDOWN(AI22/2/AI42*AI46,2)</f>
        <v>0</v>
      </c>
      <c r="AJ49" s="322">
        <f>ROUNDDOWN(AJ22/2/AJ42*AJ46,2)</f>
        <v>0</v>
      </c>
      <c r="AK49" s="323">
        <f>ROUNDDOWN(AK22/2/AK42*AK46,2)</f>
        <v>0</v>
      </c>
      <c r="AL49" s="322"/>
      <c r="AM49" s="322"/>
      <c r="AN49" s="322"/>
      <c r="AO49" s="322"/>
      <c r="AP49" s="510"/>
    </row>
    <row r="50" spans="1:42" x14ac:dyDescent="0.15">
      <c r="C50" s="39" t="s">
        <v>307</v>
      </c>
      <c r="K50" s="545"/>
      <c r="L50" s="10" t="s">
        <v>308</v>
      </c>
      <c r="M50" s="50" t="s">
        <v>304</v>
      </c>
      <c r="N50" s="313">
        <f>ROUNDDOWN(MAX(N48:N49),2)</f>
        <v>11.1</v>
      </c>
      <c r="O50" s="314">
        <f>ROUNDDOWN(MAX(O48:O49),2)</f>
        <v>18.64</v>
      </c>
      <c r="P50" s="314">
        <f>ROUNDDOWN(MAX(P48:P49),2)</f>
        <v>8.89</v>
      </c>
      <c r="Q50" s="314">
        <f>ROUNDDOWN(MAX(Q48:Q49),2)</f>
        <v>3.53</v>
      </c>
      <c r="R50" s="314"/>
      <c r="S50" s="314">
        <f>ROUNDDOWN(MAX(S48:S49),2)</f>
        <v>6.43</v>
      </c>
      <c r="T50" s="314">
        <f>ROUNDDOWN(MAX(T48:T49),2)</f>
        <v>4.6900000000000004</v>
      </c>
      <c r="U50" s="314">
        <f>ROUNDDOWN(MAX(U48:U49),2)</f>
        <v>4.78</v>
      </c>
      <c r="V50" s="314">
        <f>ROUNDDOWN(MAX(V48:V49),2)</f>
        <v>6.52</v>
      </c>
      <c r="W50" s="314"/>
      <c r="X50" s="314">
        <f>ROUNDDOWN(MAX(X48:X49),2)</f>
        <v>11.72</v>
      </c>
      <c r="Y50" s="314">
        <f>ROUNDDOWN(MAX(Y48:Y49),2)</f>
        <v>10.57</v>
      </c>
      <c r="Z50" s="314">
        <f>ROUNDDOWN(MAX(Z48:Z49),2)</f>
        <v>10.17</v>
      </c>
      <c r="AA50" s="314">
        <f>ROUNDDOWN(MAX(AA48:AA49),2)</f>
        <v>10.92</v>
      </c>
      <c r="AB50" s="314"/>
      <c r="AC50" s="314">
        <f>ROUNDDOWN(MAX(AC48:AC49),2)</f>
        <v>5.36</v>
      </c>
      <c r="AD50" s="314">
        <f>ROUNDDOWN(MAX(AD48:AD49),2)</f>
        <v>3.53</v>
      </c>
      <c r="AE50" s="314">
        <f>ROUNDDOWN(MAX(AE48:AE49),2)</f>
        <v>3.53</v>
      </c>
      <c r="AF50" s="314">
        <f>ROUNDDOWN(MAX(AF48:AF49),2)</f>
        <v>5.36</v>
      </c>
      <c r="AG50" s="314"/>
      <c r="AH50" s="314">
        <f>ROUNDDOWN(MAX(AH48:AH49),2)</f>
        <v>13.04</v>
      </c>
      <c r="AI50" s="314">
        <f>ROUNDDOWN(MAX(AI48:AI49),2)</f>
        <v>12.9</v>
      </c>
      <c r="AJ50" s="314">
        <f>ROUNDDOWN(MAX(AJ48:AJ49),2)</f>
        <v>12.46</v>
      </c>
      <c r="AK50" s="315">
        <f>ROUNDDOWN(MAX(AK48:AK49),2)</f>
        <v>12.43</v>
      </c>
      <c r="AL50" s="314"/>
      <c r="AM50" s="314"/>
      <c r="AN50" s="314"/>
      <c r="AO50" s="314"/>
      <c r="AP50" s="499"/>
    </row>
    <row r="51" spans="1:42" x14ac:dyDescent="0.15">
      <c r="C51" s="39" t="s">
        <v>309</v>
      </c>
      <c r="G51" s="39" t="s">
        <v>310</v>
      </c>
      <c r="K51" s="562" t="s">
        <v>311</v>
      </c>
      <c r="L51" s="8" t="s">
        <v>312</v>
      </c>
      <c r="M51" s="45" t="s">
        <v>126</v>
      </c>
      <c r="N51" s="327">
        <f>(N13+N14+N17)/N18</f>
        <v>125.1</v>
      </c>
      <c r="O51" s="328">
        <f>(O13+O14+O17)/O18</f>
        <v>213.2</v>
      </c>
      <c r="P51" s="328">
        <f>(P13+P14+P17)/P18</f>
        <v>102.1</v>
      </c>
      <c r="Q51" s="328">
        <f>(Q13+Q14+Q17)/Q18</f>
        <v>40.033333333333331</v>
      </c>
      <c r="R51" s="328"/>
      <c r="S51" s="328">
        <f>(S13+S14+S17)/S18</f>
        <v>85.6</v>
      </c>
      <c r="T51" s="328">
        <f>(T13+T14+T17)/T18</f>
        <v>64.599999999999994</v>
      </c>
      <c r="U51" s="328">
        <f>(U13+U14+U17)/U18</f>
        <v>65.599999999999994</v>
      </c>
      <c r="V51" s="328">
        <f>(V13+V14+V17)/V18</f>
        <v>86.6</v>
      </c>
      <c r="W51" s="328"/>
      <c r="X51" s="328">
        <f>(X13+X14+X17)/X18</f>
        <v>132.1</v>
      </c>
      <c r="Y51" s="328">
        <f>(Y13+Y14+Y17)/Y18</f>
        <v>119.93333333333334</v>
      </c>
      <c r="Z51" s="328">
        <f>(Z13+Z14+Z17)/Z18</f>
        <v>115.60000000000001</v>
      </c>
      <c r="AA51" s="328">
        <f>(AA13+AA14+AA17)/AA18</f>
        <v>123.6</v>
      </c>
      <c r="AB51" s="328"/>
      <c r="AC51" s="328">
        <f>(AC13+AC14+AC17)/AC18</f>
        <v>72.599999999999994</v>
      </c>
      <c r="AD51" s="328">
        <f>(AD13+AD14+AD17)/AD18</f>
        <v>50.6</v>
      </c>
      <c r="AE51" s="328">
        <f>(AE13+AE14+AE17)/AE18</f>
        <v>50.6</v>
      </c>
      <c r="AF51" s="328">
        <f>(AF13+AF14+AF17)/AF18</f>
        <v>72.599999999999994</v>
      </c>
      <c r="AG51" s="328"/>
      <c r="AH51" s="328">
        <f>(AH13+AH14+AH17)/AH18</f>
        <v>146.1</v>
      </c>
      <c r="AI51" s="328">
        <f>(AI13+AI14+AI17)/AI18</f>
        <v>144.6</v>
      </c>
      <c r="AJ51" s="328">
        <f>(AJ13+AJ14+AJ17)/AJ18</f>
        <v>139.93333333333334</v>
      </c>
      <c r="AK51" s="329">
        <f>(AK13+AK14+AK17)/AK18</f>
        <v>139.6</v>
      </c>
      <c r="AL51" s="328"/>
      <c r="AM51" s="328"/>
      <c r="AN51" s="328"/>
      <c r="AO51" s="328"/>
      <c r="AP51" s="514"/>
    </row>
    <row r="52" spans="1:42" ht="18" customHeight="1" x14ac:dyDescent="0.15">
      <c r="C52" s="39" t="s">
        <v>313</v>
      </c>
      <c r="G52" s="39" t="s">
        <v>314</v>
      </c>
      <c r="K52" s="563"/>
      <c r="L52" s="9" t="s">
        <v>315</v>
      </c>
      <c r="M52" s="46" t="s">
        <v>31</v>
      </c>
      <c r="N52" s="330">
        <f>(N51/N58)+N50/(2*N41/N29)</f>
        <v>272.54757316881785</v>
      </c>
      <c r="O52" s="331">
        <f>(O51/O58)+O50/(2*O41/O29)</f>
        <v>461.65875257018973</v>
      </c>
      <c r="P52" s="331">
        <f>(P51/P58)+P50/(2*P41/P29)</f>
        <v>220.71204323174584</v>
      </c>
      <c r="Q52" s="331">
        <f>(Q51/Q58)+Q50/(2*Q41/Q29)</f>
        <v>86.992431270829655</v>
      </c>
      <c r="R52" s="331"/>
      <c r="S52" s="331">
        <f>(S51/S58)+S50/(2*S41/S29)</f>
        <v>174.60154992728911</v>
      </c>
      <c r="T52" s="331">
        <f>(T51/T58)+T50/(2*T41/T29)</f>
        <v>130.10841744703436</v>
      </c>
      <c r="U52" s="331">
        <f>(U51/U58)+U50/(2*U41/U29)</f>
        <v>132.30002433870831</v>
      </c>
      <c r="V52" s="331">
        <f>(V51/V58)+V50/(2*V41/V29)</f>
        <v>176.79315681896304</v>
      </c>
      <c r="W52" s="331"/>
      <c r="X52" s="331">
        <f>(X51/X58)+X50/(2*X41/X29)</f>
        <v>287.78678059420884</v>
      </c>
      <c r="Y52" s="331">
        <f>(Y51/Y58)+Y50/(2*Y41/Y29)</f>
        <v>260.56100558904672</v>
      </c>
      <c r="Z52" s="331">
        <f>(Z51/Z58)+Z50/(2*Z41/Z29)</f>
        <v>250.96200157546645</v>
      </c>
      <c r="AA52" s="331">
        <f>(AA51/AA58)+AA50/(2*AA41/AA29)</f>
        <v>268.80097915783756</v>
      </c>
      <c r="AB52" s="331"/>
      <c r="AC52" s="331">
        <f>(AC51/AC58)+AC50/(2*AC41/AC29)</f>
        <v>147.13106849879321</v>
      </c>
      <c r="AD52" s="331">
        <f>(AD51/AD58)+AD50/(2*AD41/AD29)</f>
        <v>100.44632912686454</v>
      </c>
      <c r="AE52" s="331">
        <f>(AE51/AE58)+AE50/(2*AE41/AE29)</f>
        <v>100.44632912686454</v>
      </c>
      <c r="AF52" s="331">
        <f>(AF51/AF58)+AF50/(2*AF41/AF29)</f>
        <v>147.13106849879321</v>
      </c>
      <c r="AG52" s="331"/>
      <c r="AH52" s="331">
        <f>(AH51/AH58)+AH50/(2*AH41/AH29)</f>
        <v>319.08152197560321</v>
      </c>
      <c r="AI52" s="331">
        <f>(AI51/AI58)+AI50/(2*AI41/AI29)</f>
        <v>315.74309122992901</v>
      </c>
      <c r="AJ52" s="331">
        <f>(AJ51/AJ58)+AJ50/(2*AJ41/AJ29)</f>
        <v>305.31151076946429</v>
      </c>
      <c r="AK52" s="332">
        <f>(AK51/AK58)+AK50/(2*AK41/AK29)</f>
        <v>304.58097513890624</v>
      </c>
      <c r="AL52" s="331"/>
      <c r="AM52" s="331"/>
      <c r="AN52" s="331"/>
      <c r="AO52" s="331"/>
      <c r="AP52" s="516"/>
    </row>
    <row r="53" spans="1:42" x14ac:dyDescent="0.15">
      <c r="C53" s="39" t="s">
        <v>316</v>
      </c>
      <c r="K53" s="563"/>
      <c r="L53" s="9" t="s">
        <v>159</v>
      </c>
      <c r="M53" s="46" t="s">
        <v>31</v>
      </c>
      <c r="N53" s="330">
        <f>2/3*N39</f>
        <v>466.66666666666663</v>
      </c>
      <c r="O53" s="331">
        <f>2/3*O39</f>
        <v>466.66666666666663</v>
      </c>
      <c r="P53" s="331">
        <f>2/3*P39</f>
        <v>466.66666666666663</v>
      </c>
      <c r="Q53" s="331">
        <f>2/3*Q39</f>
        <v>466.66666666666663</v>
      </c>
      <c r="R53" s="331"/>
      <c r="S53" s="331">
        <f>2/3*S39</f>
        <v>466.66666666666663</v>
      </c>
      <c r="T53" s="331">
        <f>2/3*T39</f>
        <v>466.66666666666663</v>
      </c>
      <c r="U53" s="331">
        <f>2/3*U39</f>
        <v>466.66666666666663</v>
      </c>
      <c r="V53" s="331">
        <f>2/3*V39</f>
        <v>466.66666666666663</v>
      </c>
      <c r="W53" s="331"/>
      <c r="X53" s="331">
        <f>2/3*X39</f>
        <v>466.66666666666663</v>
      </c>
      <c r="Y53" s="331">
        <f>2/3*Y39</f>
        <v>466.66666666666663</v>
      </c>
      <c r="Z53" s="331">
        <f>2/3*Z39</f>
        <v>466.66666666666663</v>
      </c>
      <c r="AA53" s="331">
        <f>2/3*AA39</f>
        <v>466.66666666666663</v>
      </c>
      <c r="AB53" s="331"/>
      <c r="AC53" s="331">
        <f>2/3*AC39</f>
        <v>466.66666666666663</v>
      </c>
      <c r="AD53" s="331">
        <f>2/3*AD39</f>
        <v>466.66666666666663</v>
      </c>
      <c r="AE53" s="331">
        <f>2/3*AE39</f>
        <v>466.66666666666663</v>
      </c>
      <c r="AF53" s="331">
        <f>2/3*AF39</f>
        <v>466.66666666666663</v>
      </c>
      <c r="AG53" s="331"/>
      <c r="AH53" s="331">
        <f>2/3*AH39</f>
        <v>466.66666666666663</v>
      </c>
      <c r="AI53" s="331">
        <f>2/3*AI39</f>
        <v>466.66666666666663</v>
      </c>
      <c r="AJ53" s="331">
        <f>2/3*AJ39</f>
        <v>466.66666666666663</v>
      </c>
      <c r="AK53" s="332">
        <f>2/3*AK39</f>
        <v>466.66666666666663</v>
      </c>
      <c r="AL53" s="331"/>
      <c r="AM53" s="331"/>
      <c r="AN53" s="331"/>
      <c r="AO53" s="331"/>
      <c r="AP53" s="516"/>
    </row>
    <row r="54" spans="1:42" x14ac:dyDescent="0.15">
      <c r="C54" s="39" t="s">
        <v>317</v>
      </c>
      <c r="E54" s="28">
        <v>0</v>
      </c>
      <c r="F54" s="87" t="s">
        <v>318</v>
      </c>
      <c r="K54" s="563"/>
      <c r="L54" s="9" t="s">
        <v>319</v>
      </c>
      <c r="M54" s="49"/>
      <c r="N54" s="333" t="str">
        <f>IF(N53&gt;N52,"OK","NG")</f>
        <v>OK</v>
      </c>
      <c r="O54" s="334" t="str">
        <f>IF(O53&gt;O52,"OK","NG")</f>
        <v>OK</v>
      </c>
      <c r="P54" s="334" t="str">
        <f>IF(P53&gt;P52,"OK","NG")</f>
        <v>OK</v>
      </c>
      <c r="Q54" s="334" t="str">
        <f>IF(Q53&gt;Q52,"OK","NG")</f>
        <v>OK</v>
      </c>
      <c r="R54" s="334"/>
      <c r="S54" s="334" t="str">
        <f>IF(S53&gt;S52,"OK","NG")</f>
        <v>OK</v>
      </c>
      <c r="T54" s="334" t="str">
        <f>IF(T53&gt;T52,"OK","NG")</f>
        <v>OK</v>
      </c>
      <c r="U54" s="334" t="str">
        <f>IF(U53&gt;U52,"OK","NG")</f>
        <v>OK</v>
      </c>
      <c r="V54" s="334" t="str">
        <f>IF(V53&gt;V52,"OK","NG")</f>
        <v>OK</v>
      </c>
      <c r="W54" s="334"/>
      <c r="X54" s="334" t="str">
        <f>IF(X53&gt;X52,"OK","NG")</f>
        <v>OK</v>
      </c>
      <c r="Y54" s="334" t="str">
        <f>IF(Y53&gt;Y52,"OK","NG")</f>
        <v>OK</v>
      </c>
      <c r="Z54" s="334" t="str">
        <f>IF(Z53&gt;Z52,"OK","NG")</f>
        <v>OK</v>
      </c>
      <c r="AA54" s="334" t="str">
        <f>IF(AA53&gt;AA52,"OK","NG")</f>
        <v>OK</v>
      </c>
      <c r="AB54" s="334"/>
      <c r="AC54" s="334" t="str">
        <f>IF(AC53&gt;AC52,"OK","NG")</f>
        <v>OK</v>
      </c>
      <c r="AD54" s="334" t="str">
        <f>IF(AD53&gt;AD52,"OK","NG")</f>
        <v>OK</v>
      </c>
      <c r="AE54" s="334" t="str">
        <f>IF(AE53&gt;AE52,"OK","NG")</f>
        <v>OK</v>
      </c>
      <c r="AF54" s="334" t="str">
        <f>IF(AF53&gt;AF52,"OK","NG")</f>
        <v>OK</v>
      </c>
      <c r="AG54" s="334"/>
      <c r="AH54" s="334" t="str">
        <f>IF(AH53&gt;AH52,"OK","NG")</f>
        <v>OK</v>
      </c>
      <c r="AI54" s="334" t="str">
        <f>IF(AI53&gt;AI52,"OK","NG")</f>
        <v>OK</v>
      </c>
      <c r="AJ54" s="334" t="str">
        <f>IF(AJ53&gt;AJ52,"OK","NG")</f>
        <v>OK</v>
      </c>
      <c r="AK54" s="335" t="str">
        <f>IF(AK53&gt;AK52,"OK","NG")</f>
        <v>OK</v>
      </c>
      <c r="AL54" s="334"/>
      <c r="AM54" s="334"/>
      <c r="AN54" s="334"/>
      <c r="AO54" s="334"/>
      <c r="AP54" s="518"/>
    </row>
    <row r="55" spans="1:42" x14ac:dyDescent="0.15">
      <c r="K55" s="563"/>
      <c r="L55" s="9" t="s">
        <v>320</v>
      </c>
      <c r="M55" s="46" t="s">
        <v>31</v>
      </c>
      <c r="N55" s="330">
        <f>(N51/N58)-N50/(2*N41/N29)</f>
        <v>46.016960923919868</v>
      </c>
      <c r="O55" s="331">
        <f>(O51/O58)-O50/(2*O41/O29)</f>
        <v>81.25058930488359</v>
      </c>
      <c r="P55" s="331">
        <f>(P51/P58)-P50/(2*P41/P29)</f>
        <v>39.283471803174393</v>
      </c>
      <c r="Q55" s="331">
        <f>(Q51/Q58)-Q50/(2*Q41/Q29)</f>
        <v>14.951614944299045</v>
      </c>
      <c r="R55" s="331"/>
      <c r="S55" s="331">
        <f>(S51/S58)-S50/(2*S41/S29)</f>
        <v>43.377060131370754</v>
      </c>
      <c r="T55" s="331">
        <f>(T51/T58)-T50/(2*T41/T29)</f>
        <v>34.394131732748647</v>
      </c>
      <c r="U55" s="331">
        <f>(U51/U58)-U50/(2*U41/U29)</f>
        <v>34.749003930545037</v>
      </c>
      <c r="V55" s="331">
        <f>(V51/V58)-V50/(2*V41/V29)</f>
        <v>43.731932329167137</v>
      </c>
      <c r="W55" s="331"/>
      <c r="X55" s="331">
        <f>(X51/X58)-X50/(2*X41/X29)</f>
        <v>48.603107124821094</v>
      </c>
      <c r="Y55" s="331">
        <f>(Y51/Y58)-Y50/(2*Y41/Y29)</f>
        <v>44.846719874760993</v>
      </c>
      <c r="Z55" s="331">
        <f>(Z51/Z58)-Z50/(2*Z41/Z29)</f>
        <v>43.410981167303191</v>
      </c>
      <c r="AA55" s="331">
        <f>(AA51/AA58)-AA50/(2*AA41/AA29)</f>
        <v>45.943836300694684</v>
      </c>
      <c r="AB55" s="331"/>
      <c r="AC55" s="331">
        <f>(AC51/AC58)-AC50/(2*AC41/AC29)</f>
        <v>37.743313396752399</v>
      </c>
      <c r="AD55" s="331">
        <f>(AD51/AD58)-AD50/(2*AD41/AD29)</f>
        <v>28.405512800333938</v>
      </c>
      <c r="AE55" s="331">
        <f>(AE51/AE58)-AE50/(2*AE41/AE29)</f>
        <v>28.405512800333938</v>
      </c>
      <c r="AF55" s="331">
        <f>(AF51/AF58)-AF50/(2*AF41/AF29)</f>
        <v>37.743313396752399</v>
      </c>
      <c r="AG55" s="331"/>
      <c r="AH55" s="331">
        <f>(AH51/AH58)-AH50/(2*AH41/AH29)</f>
        <v>52.959072996011372</v>
      </c>
      <c r="AI55" s="331">
        <f>(AI51/AI58)-AI50/(2*AI41/AI29)</f>
        <v>52.477785107480031</v>
      </c>
      <c r="AJ55" s="331">
        <f>(AJ51/AJ58)-AJ50/(2*AJ41/AJ29)</f>
        <v>51.025796483749971</v>
      </c>
      <c r="AK55" s="332">
        <f>(AK51/AK58)-AK50/(2*AK41/AK29)</f>
        <v>50.907505751151163</v>
      </c>
      <c r="AL55" s="331"/>
      <c r="AM55" s="331"/>
      <c r="AN55" s="331"/>
      <c r="AO55" s="331"/>
      <c r="AP55" s="516"/>
    </row>
    <row r="56" spans="1:42" ht="15.75" customHeight="1" x14ac:dyDescent="0.15">
      <c r="A56" s="39" t="s">
        <v>321</v>
      </c>
      <c r="K56" s="563"/>
      <c r="L56" s="9" t="s">
        <v>322</v>
      </c>
      <c r="M56" s="46" t="s">
        <v>31</v>
      </c>
      <c r="N56" s="330">
        <f>-0.2*N53</f>
        <v>-93.333333333333329</v>
      </c>
      <c r="O56" s="331">
        <f>-0.2*O53</f>
        <v>-93.333333333333329</v>
      </c>
      <c r="P56" s="331">
        <f>-0.2*P53</f>
        <v>-93.333333333333329</v>
      </c>
      <c r="Q56" s="331">
        <f>-0.2*Q53</f>
        <v>-93.333333333333329</v>
      </c>
      <c r="R56" s="331"/>
      <c r="S56" s="331">
        <f>-0.2*S53</f>
        <v>-93.333333333333329</v>
      </c>
      <c r="T56" s="331">
        <f>-0.2*T53</f>
        <v>-93.333333333333329</v>
      </c>
      <c r="U56" s="331">
        <f>-0.2*U53</f>
        <v>-93.333333333333329</v>
      </c>
      <c r="V56" s="331">
        <f>-0.2*V53</f>
        <v>-93.333333333333329</v>
      </c>
      <c r="W56" s="331"/>
      <c r="X56" s="331">
        <f>-0.2*X53</f>
        <v>-93.333333333333329</v>
      </c>
      <c r="Y56" s="331">
        <f>-0.2*Y53</f>
        <v>-93.333333333333329</v>
      </c>
      <c r="Z56" s="331">
        <f>-0.2*Z53</f>
        <v>-93.333333333333329</v>
      </c>
      <c r="AA56" s="331">
        <f>-0.2*AA53</f>
        <v>-93.333333333333329</v>
      </c>
      <c r="AB56" s="331"/>
      <c r="AC56" s="331">
        <f>-0.2*AC53</f>
        <v>-93.333333333333329</v>
      </c>
      <c r="AD56" s="331">
        <f>-0.2*AD53</f>
        <v>-93.333333333333329</v>
      </c>
      <c r="AE56" s="331">
        <f>-0.2*AE53</f>
        <v>-93.333333333333329</v>
      </c>
      <c r="AF56" s="331">
        <f>-0.2*AF53</f>
        <v>-93.333333333333329</v>
      </c>
      <c r="AG56" s="331"/>
      <c r="AH56" s="331">
        <f>-0.2*AH53</f>
        <v>-93.333333333333329</v>
      </c>
      <c r="AI56" s="331">
        <f>-0.2*AI53</f>
        <v>-93.333333333333329</v>
      </c>
      <c r="AJ56" s="331">
        <f>-0.2*AJ53</f>
        <v>-93.333333333333329</v>
      </c>
      <c r="AK56" s="332">
        <f>-0.2*AK53</f>
        <v>-93.333333333333329</v>
      </c>
      <c r="AL56" s="331"/>
      <c r="AM56" s="331"/>
      <c r="AN56" s="331"/>
      <c r="AO56" s="331"/>
      <c r="AP56" s="516"/>
    </row>
    <row r="57" spans="1:42" x14ac:dyDescent="0.15">
      <c r="B57" s="39" t="s">
        <v>323</v>
      </c>
      <c r="F57" s="39" t="s">
        <v>310</v>
      </c>
      <c r="K57" s="564"/>
      <c r="L57" s="10" t="s">
        <v>324</v>
      </c>
      <c r="M57" s="51"/>
      <c r="N57" s="336" t="str">
        <f>IF(N55&gt;N56,"OK","NG")</f>
        <v>OK</v>
      </c>
      <c r="O57" s="337" t="str">
        <f>IF(O55&gt;O56,"OK","NG")</f>
        <v>OK</v>
      </c>
      <c r="P57" s="337" t="str">
        <f>IF(P55&gt;P56,"OK","NG")</f>
        <v>OK</v>
      </c>
      <c r="Q57" s="337" t="str">
        <f>IF(Q55&gt;Q56,"OK","NG")</f>
        <v>OK</v>
      </c>
      <c r="R57" s="337"/>
      <c r="S57" s="337" t="str">
        <f>IF(S55&gt;S56,"OK","NG")</f>
        <v>OK</v>
      </c>
      <c r="T57" s="337" t="str">
        <f>IF(T55&gt;T56,"OK","NG")</f>
        <v>OK</v>
      </c>
      <c r="U57" s="337" t="str">
        <f>IF(U55&gt;U56,"OK","NG")</f>
        <v>OK</v>
      </c>
      <c r="V57" s="337" t="str">
        <f>IF(V55&gt;V56,"OK","NG")</f>
        <v>OK</v>
      </c>
      <c r="W57" s="337"/>
      <c r="X57" s="337" t="str">
        <f>IF(X55&gt;X56,"OK","NG")</f>
        <v>OK</v>
      </c>
      <c r="Y57" s="337" t="str">
        <f>IF(Y55&gt;Y56,"OK","NG")</f>
        <v>OK</v>
      </c>
      <c r="Z57" s="337" t="str">
        <f>IF(Z55&gt;Z56,"OK","NG")</f>
        <v>OK</v>
      </c>
      <c r="AA57" s="337" t="str">
        <f>IF(AA55&gt;AA56,"OK","NG")</f>
        <v>OK</v>
      </c>
      <c r="AB57" s="337"/>
      <c r="AC57" s="337" t="str">
        <f>IF(AC55&gt;AC56,"OK","NG")</f>
        <v>OK</v>
      </c>
      <c r="AD57" s="337" t="str">
        <f>IF(AD55&gt;AD56,"OK","NG")</f>
        <v>OK</v>
      </c>
      <c r="AE57" s="337" t="str">
        <f>IF(AE55&gt;AE56,"OK","NG")</f>
        <v>OK</v>
      </c>
      <c r="AF57" s="337" t="str">
        <f>IF(AF55&gt;AF56,"OK","NG")</f>
        <v>OK</v>
      </c>
      <c r="AG57" s="337"/>
      <c r="AH57" s="337" t="str">
        <f>IF(AH55&gt;AH56,"OK","NG")</f>
        <v>OK</v>
      </c>
      <c r="AI57" s="337" t="str">
        <f>IF(AI55&gt;AI56,"OK","NG")</f>
        <v>OK</v>
      </c>
      <c r="AJ57" s="337" t="str">
        <f>IF(AJ55&gt;AJ56,"OK","NG")</f>
        <v>OK</v>
      </c>
      <c r="AK57" s="338" t="str">
        <f>IF(AK55&gt;AK56,"OK","NG")</f>
        <v>OK</v>
      </c>
      <c r="AL57" s="337"/>
      <c r="AM57" s="337"/>
      <c r="AN57" s="337"/>
      <c r="AO57" s="337"/>
      <c r="AP57" s="520"/>
    </row>
    <row r="58" spans="1:42" x14ac:dyDescent="0.15">
      <c r="B58" s="39" t="s">
        <v>325</v>
      </c>
      <c r="F58" s="39" t="s">
        <v>310</v>
      </c>
      <c r="K58" s="562" t="s">
        <v>326</v>
      </c>
      <c r="L58" s="8" t="s">
        <v>65</v>
      </c>
      <c r="M58" s="45" t="s">
        <v>66</v>
      </c>
      <c r="N58" s="339">
        <f>(N28/2)^2*PI()</f>
        <v>0.78539816339744828</v>
      </c>
      <c r="O58" s="340">
        <f>(O28/2)^2*PI()</f>
        <v>0.78539816339744828</v>
      </c>
      <c r="P58" s="340">
        <f>(P28/2)^2*PI()</f>
        <v>0.78539816339744828</v>
      </c>
      <c r="Q58" s="340">
        <f>(Q28/2)^2*PI()</f>
        <v>0.78539816339744828</v>
      </c>
      <c r="R58" s="340"/>
      <c r="S58" s="340">
        <f>(S28/2)^2*PI()</f>
        <v>0.78539816339744828</v>
      </c>
      <c r="T58" s="340">
        <f>(T28/2)^2*PI()</f>
        <v>0.78539816339744828</v>
      </c>
      <c r="U58" s="340">
        <f>(U28/2)^2*PI()</f>
        <v>0.78539816339744828</v>
      </c>
      <c r="V58" s="340">
        <f>(V28/2)^2*PI()</f>
        <v>0.78539816339744828</v>
      </c>
      <c r="W58" s="340"/>
      <c r="X58" s="340">
        <f>(X28/2)^2*PI()</f>
        <v>0.78539816339744828</v>
      </c>
      <c r="Y58" s="340">
        <f>(Y28/2)^2*PI()</f>
        <v>0.78539816339744828</v>
      </c>
      <c r="Z58" s="340">
        <f>(Z28/2)^2*PI()</f>
        <v>0.78539816339744828</v>
      </c>
      <c r="AA58" s="340">
        <f>(AA28/2)^2*PI()</f>
        <v>0.78539816339744828</v>
      </c>
      <c r="AB58" s="340"/>
      <c r="AC58" s="340">
        <f>(AC28/2)^2*PI()</f>
        <v>0.78539816339744828</v>
      </c>
      <c r="AD58" s="340">
        <f>(AD28/2)^2*PI()</f>
        <v>0.78539816339744828</v>
      </c>
      <c r="AE58" s="340">
        <f>(AE28/2)^2*PI()</f>
        <v>0.78539816339744828</v>
      </c>
      <c r="AF58" s="340">
        <f>(AF28/2)^2*PI()</f>
        <v>0.78539816339744828</v>
      </c>
      <c r="AG58" s="340"/>
      <c r="AH58" s="340">
        <f>(AH28/2)^2*PI()</f>
        <v>0.78539816339744828</v>
      </c>
      <c r="AI58" s="340">
        <f>(AI28/2)^2*PI()</f>
        <v>0.78539816339744828</v>
      </c>
      <c r="AJ58" s="340">
        <f>(AJ28/2)^2*PI()</f>
        <v>0.78539816339744828</v>
      </c>
      <c r="AK58" s="341">
        <f>(AK28/2)^2*PI()</f>
        <v>0.78539816339744828</v>
      </c>
      <c r="AL58" s="340"/>
      <c r="AM58" s="340"/>
      <c r="AN58" s="340"/>
      <c r="AO58" s="340"/>
      <c r="AP58" s="522"/>
    </row>
    <row r="59" spans="1:42" x14ac:dyDescent="0.15">
      <c r="C59" s="39" t="s">
        <v>327</v>
      </c>
      <c r="F59" s="39" t="s">
        <v>328</v>
      </c>
      <c r="K59" s="563"/>
      <c r="L59" s="9" t="s">
        <v>329</v>
      </c>
      <c r="M59" s="46" t="s">
        <v>31</v>
      </c>
      <c r="N59" s="330">
        <f>N22/N58</f>
        <v>18.788055379723062</v>
      </c>
      <c r="O59" s="331">
        <f>O22/O58</f>
        <v>31.646137759276407</v>
      </c>
      <c r="P59" s="331">
        <f>P22/P58</f>
        <v>15.101855947185127</v>
      </c>
      <c r="Q59" s="331">
        <f>Q22/Q58</f>
        <v>5.9955692256658075</v>
      </c>
      <c r="R59" s="331"/>
      <c r="S59" s="331">
        <f>S22/S58</f>
        <v>12.457408528190523</v>
      </c>
      <c r="T59" s="331">
        <f>T22/T58</f>
        <v>9.0917481767428452</v>
      </c>
      <c r="U59" s="331">
        <f>U22/U58</f>
        <v>9.2520177172879734</v>
      </c>
      <c r="V59" s="331">
        <f>V22/V58</f>
        <v>12.617678068735648</v>
      </c>
      <c r="W59" s="331"/>
      <c r="X59" s="331">
        <f>X22/X58</f>
        <v>19.909942163538954</v>
      </c>
      <c r="Y59" s="331">
        <f>Y22/Y58</f>
        <v>17.959996086906568</v>
      </c>
      <c r="Z59" s="331">
        <f>Z22/Z58</f>
        <v>17.265494744544348</v>
      </c>
      <c r="AA59" s="331">
        <f>AA22/AA58</f>
        <v>18.54765106890537</v>
      </c>
      <c r="AB59" s="331"/>
      <c r="AC59" s="331">
        <f>AC22/AC58</f>
        <v>10.373904501103866</v>
      </c>
      <c r="AD59" s="331">
        <f>AD22/AD58</f>
        <v>6.8479746091110609</v>
      </c>
      <c r="AE59" s="331">
        <f>AE22/AE58</f>
        <v>6.8479746091110609</v>
      </c>
      <c r="AF59" s="331">
        <f>AF22/AF58</f>
        <v>10.373904501103866</v>
      </c>
      <c r="AG59" s="331"/>
      <c r="AH59" s="331">
        <f>AH22/AH58</f>
        <v>22.153715731170742</v>
      </c>
      <c r="AI59" s="331">
        <f>AI22/AI58</f>
        <v>21.913311420353047</v>
      </c>
      <c r="AJ59" s="331">
        <f>AJ22/AJ58</f>
        <v>21.165386897809118</v>
      </c>
      <c r="AK59" s="332">
        <f>AK22/AK58</f>
        <v>21.111963717627411</v>
      </c>
      <c r="AL59" s="331"/>
      <c r="AM59" s="331"/>
      <c r="AN59" s="331"/>
      <c r="AO59" s="331"/>
      <c r="AP59" s="516"/>
    </row>
    <row r="60" spans="1:42" x14ac:dyDescent="0.15">
      <c r="C60" s="39" t="s">
        <v>330</v>
      </c>
      <c r="K60" s="563"/>
      <c r="L60" s="9" t="s">
        <v>331</v>
      </c>
      <c r="M60" s="46" t="s">
        <v>31</v>
      </c>
      <c r="N60" s="330">
        <f>MIN((0.3*N39+N59*TAN(30*PI()/180)),0.5*N39)</f>
        <v>220.8472888310327</v>
      </c>
      <c r="O60" s="331">
        <f>MIN((0.3*O39+O59*TAN(30*PI()/180)),0.5*O39)</f>
        <v>228.27090615413022</v>
      </c>
      <c r="P60" s="331">
        <f>MIN((0.3*P39+P59*TAN(30*PI()/180)),0.5*P39)</f>
        <v>218.7190605963703</v>
      </c>
      <c r="Q60" s="331">
        <f>MIN((0.3*Q39+Q59*TAN(30*PI()/180)),0.5*Q39)</f>
        <v>213.46154350638318</v>
      </c>
      <c r="R60" s="331"/>
      <c r="S60" s="331">
        <f>MIN((0.3*S39+S59*TAN(30*PI()/180)),0.5*S39)</f>
        <v>217.19228816715594</v>
      </c>
      <c r="T60" s="331">
        <f>MIN((0.3*T39+T59*TAN(30*PI()/180)),0.5*T39)</f>
        <v>215.24912325724677</v>
      </c>
      <c r="U60" s="331">
        <f>MIN((0.3*U39+U59*TAN(30*PI()/180)),0.5*U39)</f>
        <v>215.34165491962341</v>
      </c>
      <c r="V60" s="331">
        <f>MIN((0.3*V39+V59*TAN(30*PI()/180)),0.5*V39)</f>
        <v>217.28481982953255</v>
      </c>
      <c r="W60" s="331"/>
      <c r="X60" s="331">
        <f>MIN((0.3*X39+X59*TAN(30*PI()/180)),0.5*X39)</f>
        <v>221.49501046766909</v>
      </c>
      <c r="Y60" s="331">
        <f>MIN((0.3*Y39+Y59*TAN(30*PI()/180)),0.5*Y39)</f>
        <v>220.36920857542015</v>
      </c>
      <c r="Z60" s="331">
        <f>MIN((0.3*Z39+Z59*TAN(30*PI()/180)),0.5*Z39)</f>
        <v>219.96823803845476</v>
      </c>
      <c r="AA60" s="331">
        <f>MIN((0.3*AA39+AA59*TAN(30*PI()/180)),0.5*AA39)</f>
        <v>220.70849133746776</v>
      </c>
      <c r="AB60" s="331"/>
      <c r="AC60" s="331">
        <f>MIN((0.3*AC39+AC59*TAN(30*PI()/180)),0.5*AC39)</f>
        <v>215.9893765562598</v>
      </c>
      <c r="AD60" s="331">
        <f>MIN((0.3*AD39+AD59*TAN(30*PI()/180)),0.5*AD39)</f>
        <v>213.95367998397398</v>
      </c>
      <c r="AE60" s="331">
        <f>MIN((0.3*AE39+AE59*TAN(30*PI()/180)),0.5*AE39)</f>
        <v>213.95367998397398</v>
      </c>
      <c r="AF60" s="331">
        <f>MIN((0.3*AF39+AF59*TAN(30*PI()/180)),0.5*AF39)</f>
        <v>215.9893765562598</v>
      </c>
      <c r="AG60" s="331"/>
      <c r="AH60" s="331">
        <f>MIN((0.3*AH39+AH59*TAN(30*PI()/180)),0.5*AH39)</f>
        <v>222.79045374094187</v>
      </c>
      <c r="AI60" s="331">
        <f>MIN((0.3*AI39+AI59*TAN(30*PI()/180)),0.5*AI39)</f>
        <v>222.65165624737693</v>
      </c>
      <c r="AJ60" s="331">
        <f>MIN((0.3*AJ39+AJ59*TAN(30*PI()/180)),0.5*AJ39)</f>
        <v>222.21984182295267</v>
      </c>
      <c r="AK60" s="332">
        <f>MIN((0.3*AK39+AK59*TAN(30*PI()/180)),0.5*AK39)</f>
        <v>222.1889979354938</v>
      </c>
      <c r="AL60" s="331"/>
      <c r="AM60" s="331"/>
      <c r="AN60" s="331"/>
      <c r="AO60" s="331"/>
      <c r="AP60" s="516"/>
    </row>
    <row r="61" spans="1:42" x14ac:dyDescent="0.15">
      <c r="C61" s="39" t="s">
        <v>332</v>
      </c>
      <c r="K61" s="563"/>
      <c r="L61" s="9" t="s">
        <v>333</v>
      </c>
      <c r="M61" s="46" t="s">
        <v>31</v>
      </c>
      <c r="N61" s="330">
        <f>2/3*N60</f>
        <v>147.23152588735513</v>
      </c>
      <c r="O61" s="331">
        <f>2/3*O60</f>
        <v>152.18060410275348</v>
      </c>
      <c r="P61" s="331">
        <f>2/3*P60</f>
        <v>145.81270706424687</v>
      </c>
      <c r="Q61" s="331">
        <f>2/3*Q60</f>
        <v>142.3076956709221</v>
      </c>
      <c r="R61" s="331"/>
      <c r="S61" s="331">
        <f>2/3*S60</f>
        <v>144.79485877810396</v>
      </c>
      <c r="T61" s="331">
        <f>2/3*T60</f>
        <v>143.49941550483118</v>
      </c>
      <c r="U61" s="331">
        <f>2/3*U60</f>
        <v>143.56110327974892</v>
      </c>
      <c r="V61" s="331">
        <f>2/3*V60</f>
        <v>144.8565465530217</v>
      </c>
      <c r="W61" s="331"/>
      <c r="X61" s="331">
        <f>2/3*X60</f>
        <v>147.66334031177939</v>
      </c>
      <c r="Y61" s="331">
        <f>2/3*Y60</f>
        <v>146.91280571694676</v>
      </c>
      <c r="Z61" s="331">
        <f>2/3*Z60</f>
        <v>146.64549202563649</v>
      </c>
      <c r="AA61" s="331">
        <f>2/3*AA60</f>
        <v>147.13899422497849</v>
      </c>
      <c r="AB61" s="331"/>
      <c r="AC61" s="331">
        <f>2/3*AC60</f>
        <v>143.99291770417318</v>
      </c>
      <c r="AD61" s="331">
        <f>2/3*AD60</f>
        <v>142.63578665598266</v>
      </c>
      <c r="AE61" s="331">
        <f>2/3*AE60</f>
        <v>142.63578665598266</v>
      </c>
      <c r="AF61" s="331">
        <f>2/3*AF60</f>
        <v>143.99291770417318</v>
      </c>
      <c r="AG61" s="331"/>
      <c r="AH61" s="331">
        <f>2/3*AH60</f>
        <v>148.52696916062791</v>
      </c>
      <c r="AI61" s="331">
        <f>2/3*AI60</f>
        <v>148.43443749825127</v>
      </c>
      <c r="AJ61" s="331">
        <f>2/3*AJ60</f>
        <v>148.14656121530177</v>
      </c>
      <c r="AK61" s="332">
        <f>2/3*AK60</f>
        <v>148.12599862366253</v>
      </c>
      <c r="AL61" s="331"/>
      <c r="AM61" s="331"/>
      <c r="AN61" s="331"/>
      <c r="AO61" s="331"/>
      <c r="AP61" s="516"/>
    </row>
    <row r="62" spans="1:42" x14ac:dyDescent="0.15">
      <c r="K62" s="563"/>
      <c r="L62" s="9" t="s">
        <v>334</v>
      </c>
      <c r="M62" s="46" t="s">
        <v>31</v>
      </c>
      <c r="N62" s="330">
        <f>4/3*(N22/N58)</f>
        <v>25.050740506297416</v>
      </c>
      <c r="O62" s="331">
        <f>4/3*(O22/O58)</f>
        <v>42.194850345701873</v>
      </c>
      <c r="P62" s="331">
        <f>4/3*(P22/P58)</f>
        <v>20.135807929580167</v>
      </c>
      <c r="Q62" s="331">
        <f>4/3*(Q22/Q58)</f>
        <v>7.9940923008877434</v>
      </c>
      <c r="R62" s="331"/>
      <c r="S62" s="331">
        <f>4/3*(S22/S58)</f>
        <v>16.609878037587364</v>
      </c>
      <c r="T62" s="331">
        <f>4/3*(T22/T58)</f>
        <v>12.122330902323792</v>
      </c>
      <c r="U62" s="331">
        <f>4/3*(U22/U58)</f>
        <v>12.336023623050631</v>
      </c>
      <c r="V62" s="331">
        <f>4/3*(V22/V58)</f>
        <v>16.823570758314197</v>
      </c>
      <c r="W62" s="331"/>
      <c r="X62" s="331">
        <f>4/3*(X22/X58)</f>
        <v>26.546589551385271</v>
      </c>
      <c r="Y62" s="331">
        <f>4/3*(Y22/Y58)</f>
        <v>23.946661449208754</v>
      </c>
      <c r="Z62" s="331">
        <f>4/3*(Z22/Z58)</f>
        <v>23.020659659392464</v>
      </c>
      <c r="AA62" s="331">
        <f>4/3*(AA22/AA58)</f>
        <v>24.730201425207159</v>
      </c>
      <c r="AB62" s="331"/>
      <c r="AC62" s="331">
        <f>4/3*(AC22/AC58)</f>
        <v>13.831872668138487</v>
      </c>
      <c r="AD62" s="331">
        <f>4/3*(AD22/AD58)</f>
        <v>9.1306328121480806</v>
      </c>
      <c r="AE62" s="331">
        <f>4/3*(AE22/AE58)</f>
        <v>9.1306328121480806</v>
      </c>
      <c r="AF62" s="331">
        <f>4/3*(AF22/AF58)</f>
        <v>13.831872668138487</v>
      </c>
      <c r="AG62" s="331"/>
      <c r="AH62" s="331">
        <f>4/3*(AH22/AH58)</f>
        <v>29.538287641560988</v>
      </c>
      <c r="AI62" s="331">
        <f>4/3*(AI22/AI58)</f>
        <v>29.217748560470728</v>
      </c>
      <c r="AJ62" s="331">
        <f>4/3*(AJ22/AJ58)</f>
        <v>28.22051586374549</v>
      </c>
      <c r="AK62" s="332">
        <f>4/3*(AK22/AK58)</f>
        <v>28.149284956836546</v>
      </c>
      <c r="AL62" s="331"/>
      <c r="AM62" s="331"/>
      <c r="AN62" s="331"/>
      <c r="AO62" s="331"/>
      <c r="AP62" s="516"/>
    </row>
    <row r="63" spans="1:42" x14ac:dyDescent="0.15">
      <c r="A63" s="39" t="s">
        <v>335</v>
      </c>
      <c r="K63" s="564"/>
      <c r="L63" s="10" t="s">
        <v>336</v>
      </c>
      <c r="M63" s="51"/>
      <c r="N63" s="336" t="str">
        <f>IF(N61&gt;N62,"OK","NG")</f>
        <v>OK</v>
      </c>
      <c r="O63" s="337" t="str">
        <f>IF(O61&gt;O62,"OK","NG")</f>
        <v>OK</v>
      </c>
      <c r="P63" s="337" t="str">
        <f>IF(P61&gt;P62,"OK","NG")</f>
        <v>OK</v>
      </c>
      <c r="Q63" s="337" t="str">
        <f>IF(Q61&gt;Q62,"OK","NG")</f>
        <v>OK</v>
      </c>
      <c r="R63" s="337"/>
      <c r="S63" s="337" t="str">
        <f>IF(S61&gt;S62,"OK","NG")</f>
        <v>OK</v>
      </c>
      <c r="T63" s="337" t="str">
        <f>IF(T61&gt;T62,"OK","NG")</f>
        <v>OK</v>
      </c>
      <c r="U63" s="337" t="str">
        <f>IF(U61&gt;U62,"OK","NG")</f>
        <v>OK</v>
      </c>
      <c r="V63" s="337" t="str">
        <f>IF(V61&gt;V62,"OK","NG")</f>
        <v>OK</v>
      </c>
      <c r="W63" s="337"/>
      <c r="X63" s="337" t="str">
        <f>IF(X61&gt;X62,"OK","NG")</f>
        <v>OK</v>
      </c>
      <c r="Y63" s="337" t="str">
        <f>IF(Y61&gt;Y62,"OK","NG")</f>
        <v>OK</v>
      </c>
      <c r="Z63" s="337" t="str">
        <f>IF(Z61&gt;Z62,"OK","NG")</f>
        <v>OK</v>
      </c>
      <c r="AA63" s="337" t="str">
        <f>IF(AA61&gt;AA62,"OK","NG")</f>
        <v>OK</v>
      </c>
      <c r="AB63" s="337"/>
      <c r="AC63" s="337" t="str">
        <f>IF(AC61&gt;AC62,"OK","NG")</f>
        <v>OK</v>
      </c>
      <c r="AD63" s="337" t="str">
        <f>IF(AD61&gt;AD62,"OK","NG")</f>
        <v>OK</v>
      </c>
      <c r="AE63" s="337" t="str">
        <f>IF(AE61&gt;AE62,"OK","NG")</f>
        <v>OK</v>
      </c>
      <c r="AF63" s="337" t="str">
        <f>IF(AF61&gt;AF62,"OK","NG")</f>
        <v>OK</v>
      </c>
      <c r="AG63" s="337"/>
      <c r="AH63" s="337" t="str">
        <f>IF(AH61&gt;AH62,"OK","NG")</f>
        <v>OK</v>
      </c>
      <c r="AI63" s="337" t="str">
        <f>IF(AI61&gt;AI62,"OK","NG")</f>
        <v>OK</v>
      </c>
      <c r="AJ63" s="337" t="str">
        <f>IF(AJ61&gt;AJ62,"OK","NG")</f>
        <v>OK</v>
      </c>
      <c r="AK63" s="338" t="str">
        <f>IF(AK61&gt;AK62,"OK","NG")</f>
        <v>OK</v>
      </c>
      <c r="AL63" s="337"/>
      <c r="AM63" s="337"/>
      <c r="AN63" s="337"/>
      <c r="AO63" s="337"/>
      <c r="AP63" s="520"/>
    </row>
    <row r="64" spans="1:42" x14ac:dyDescent="0.15">
      <c r="B64" s="27" t="s">
        <v>337</v>
      </c>
      <c r="E64" s="39" t="s">
        <v>338</v>
      </c>
    </row>
    <row r="65" spans="1:7" x14ac:dyDescent="0.15">
      <c r="B65" s="27" t="s">
        <v>339</v>
      </c>
      <c r="E65" s="39" t="s">
        <v>340</v>
      </c>
    </row>
    <row r="67" spans="1:7" x14ac:dyDescent="0.15">
      <c r="A67" s="39" t="s">
        <v>341</v>
      </c>
    </row>
    <row r="68" spans="1:7" x14ac:dyDescent="0.15">
      <c r="B68" s="39" t="s">
        <v>342</v>
      </c>
    </row>
    <row r="69" spans="1:7" x14ac:dyDescent="0.15">
      <c r="B69" s="27" t="s">
        <v>343</v>
      </c>
    </row>
    <row r="70" spans="1:7" x14ac:dyDescent="0.15">
      <c r="B70" s="27" t="s">
        <v>344</v>
      </c>
    </row>
    <row r="71" spans="1:7" x14ac:dyDescent="0.15">
      <c r="C71" s="39" t="s">
        <v>345</v>
      </c>
      <c r="D71" s="11"/>
    </row>
    <row r="72" spans="1:7" x14ac:dyDescent="0.15">
      <c r="C72" s="39" t="s">
        <v>346</v>
      </c>
      <c r="G72" s="39" t="s">
        <v>310</v>
      </c>
    </row>
    <row r="73" spans="1:7" x14ac:dyDescent="0.15">
      <c r="C73" s="39" t="s">
        <v>347</v>
      </c>
    </row>
    <row r="74" spans="1:7" x14ac:dyDescent="0.15">
      <c r="C74" s="39" t="s">
        <v>348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1" priority="1" stopIfTrue="1" operator="equal">
      <formula>"NG"</formula>
    </cfRule>
  </conditionalFormatting>
  <conditionalFormatting sqref="N57:AP57 N63:AP63">
    <cfRule type="cellIs" dxfId="0" priority="2" stopIfTrue="1" operator="equal">
      <formula>"NG"</formula>
    </cfRule>
  </conditionalFormatting>
  <pageMargins left="0.75" right="0.75" top="1" bottom="1" header="0.51200000000000001" footer="0.51200000000000001"/>
  <pageSetup paperSize="9" scale="67" fitToWidth="2" orientation="portrait" blackAndWhite="1" r:id="rId1"/>
  <colBreaks count="3" manualBreakCount="3">
    <brk id="10" max="67" man="1"/>
    <brk id="23" max="67" man="1"/>
    <brk id="33" max="6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鉛直</vt:lpstr>
      <vt:lpstr>水平</vt:lpstr>
      <vt:lpstr>L</vt:lpstr>
      <vt:lpstr>L+Ex</vt:lpstr>
      <vt:lpstr>L-Ex</vt:lpstr>
      <vt:lpstr>L+Ey</vt:lpstr>
      <vt:lpstr>L-Ey</vt:lpstr>
      <vt:lpstr>水平 X</vt:lpstr>
      <vt:lpstr>水平 Y</vt:lpstr>
      <vt:lpstr>Sheet3</vt:lpstr>
      <vt:lpstr>Sheet1</vt:lpstr>
      <vt:lpstr>Sheet2</vt:lpstr>
      <vt:lpstr>鉛直!Print_Area</vt:lpstr>
      <vt:lpstr>水平!Print_Area</vt:lpstr>
      <vt:lpstr>'水平 X'!Print_Area</vt:lpstr>
      <vt:lpstr>'水平 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大和ハウス工業株式会社</dc:creator>
  <cp:lastModifiedBy>Administrator</cp:lastModifiedBy>
  <cp:lastPrinted>2020-09-07T01:25:01Z</cp:lastPrinted>
  <dcterms:created xsi:type="dcterms:W3CDTF">2005-05-20T00:44:21Z</dcterms:created>
  <dcterms:modified xsi:type="dcterms:W3CDTF">2020-09-07T06:07:50Z</dcterms:modified>
</cp:coreProperties>
</file>