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wb529314\OneDrive - WBG\Cote d'Ivoire HSPT shared\Data sources and review\Data entry\September update\"/>
    </mc:Choice>
  </mc:AlternateContent>
  <xr:revisionPtr revIDLastSave="1" documentId="13_ncr:1_{0CEC4BD3-9EF8-4728-9823-461ABA9E225F}" xr6:coauthVersionLast="41" xr6:coauthVersionMax="44" xr10:uidLastSave="{7C5AAC66-1FEB-4352-8362-C8BF4BE9F264}"/>
  <bookViews>
    <workbookView xWindow="-108" yWindow="-108" windowWidth="23256" windowHeight="12576" activeTab="1" xr2:uid="{00000000-000D-0000-FFFF-FFFF00000000}"/>
  </bookViews>
  <sheets>
    <sheet name="sheet-for upload-working" sheetId="7" r:id="rId1"/>
    <sheet name="collected data-merged" sheetId="4" r:id="rId2"/>
    <sheet name="Population cible" sheetId="10" r:id="rId3"/>
    <sheet name="SHEET READY FOR UPLOAD" sheetId="15" r:id="rId4"/>
    <sheet name="IHME prevalence" sheetId="12" r:id="rId5"/>
    <sheet name="DCP3 causes and BoD CIV" sheetId="13" r:id="rId6"/>
    <sheet name="UN population" sheetId="11" r:id="rId7"/>
    <sheet name="NHA" sheetId="9" r:id="rId8"/>
    <sheet name="FULL REFERENCE" sheetId="8" r:id="rId9"/>
    <sheet name="Master" sheetId="1" r:id="rId10"/>
    <sheet name="intervention list HIP" sheetId="6" r:id="rId11"/>
    <sheet name="Vaccine unit costs" sheetId="5" r:id="rId12"/>
    <sheet name="code matching" sheetId="3" r:id="rId13"/>
    <sheet name="Intervention names" sheetId="2" r:id="rId14"/>
  </sheets>
  <externalReferences>
    <externalReference r:id="rId15"/>
    <externalReference r:id="rId16"/>
    <externalReference r:id="rId17"/>
  </externalReferences>
  <definedNames>
    <definedName name="_xlnm._FilterDatabase" localSheetId="1" hidden="1">'collected data-merged'!$B$1:$V$176</definedName>
    <definedName name="_xlnm._FilterDatabase" localSheetId="5" hidden="1">'DCP3 causes and BoD CIV'!$B$1:$E$1</definedName>
    <definedName name="_xlnm._FilterDatabase" localSheetId="4" hidden="1">'IHME prevalence'!$B$168:$E$449</definedName>
    <definedName name="_xlnm._FilterDatabase" localSheetId="9" hidden="1">Master!$A$1:$L$156</definedName>
    <definedName name="_xlnm._FilterDatabase" localSheetId="3" hidden="1">'SHEET READY FOR UPLOAD'!$A$1:$I$179</definedName>
    <definedName name="_xlnm._FilterDatabase" localSheetId="0" hidden="1">'sheet-for upload-working'!$A$9:$W$187</definedName>
    <definedName name="FCFA_US__exchange">'sheet-for upload-working'!$W$2</definedName>
    <definedName name="increase_in_actual_to_target_coverage_for_NCDs">'sheet-for upload-working'!$W$3</definedName>
    <definedName name="Quality_reduction">'sheet-for upload-working'!$W$1</definedName>
    <definedName name="Salary_CIV_cost_uplift">'Population cible'!$C$140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83" i="7" l="1"/>
  <c r="R183" i="7"/>
  <c r="T183" i="7" s="1"/>
  <c r="O183" i="7"/>
  <c r="N183" i="7" l="1"/>
  <c r="P183" i="7" s="1"/>
  <c r="Q183" i="7" s="1"/>
  <c r="J183" i="7" s="1"/>
  <c r="K183" i="7" s="1"/>
  <c r="U183" i="7"/>
  <c r="R76" i="4" l="1"/>
  <c r="Q76" i="4"/>
  <c r="M76" i="4"/>
  <c r="S110" i="4"/>
  <c r="M61" i="4" l="1"/>
  <c r="R176" i="4" l="1"/>
  <c r="R174" i="4"/>
  <c r="R173" i="4"/>
  <c r="R172" i="4"/>
  <c r="R171" i="4"/>
  <c r="R170" i="4"/>
  <c r="R169" i="4"/>
  <c r="R167" i="4"/>
  <c r="R166" i="4"/>
  <c r="R165" i="4"/>
  <c r="R164" i="4"/>
  <c r="R163" i="4"/>
  <c r="R162" i="4"/>
  <c r="R161" i="4"/>
  <c r="R160" i="4"/>
  <c r="R159" i="4"/>
  <c r="R151" i="4"/>
  <c r="R150" i="4"/>
  <c r="R149" i="4"/>
  <c r="R148" i="4"/>
  <c r="R147" i="4"/>
  <c r="R146" i="4"/>
  <c r="R144" i="4"/>
  <c r="R143" i="4"/>
  <c r="R142" i="4"/>
  <c r="R141" i="4"/>
  <c r="R140" i="4"/>
  <c r="R139" i="4"/>
  <c r="R138" i="4"/>
  <c r="R137" i="4"/>
  <c r="R136" i="4"/>
  <c r="R135" i="4"/>
  <c r="R133" i="4"/>
  <c r="R132" i="4"/>
  <c r="R131" i="4"/>
  <c r="R130" i="4"/>
  <c r="R129" i="4"/>
  <c r="R128" i="4"/>
  <c r="R127" i="4"/>
  <c r="R125" i="4"/>
  <c r="R124" i="4"/>
  <c r="R123" i="4"/>
  <c r="R122" i="4"/>
  <c r="R103" i="4"/>
  <c r="R99" i="4"/>
  <c r="R93" i="4"/>
  <c r="R92" i="4"/>
  <c r="R91" i="4"/>
  <c r="R90" i="4"/>
  <c r="R89" i="4"/>
  <c r="R87" i="4"/>
  <c r="R86" i="4"/>
  <c r="R85" i="4"/>
  <c r="R84" i="4"/>
  <c r="R83" i="4"/>
  <c r="R82" i="4"/>
  <c r="R81" i="4"/>
  <c r="R80" i="4"/>
  <c r="R79" i="4"/>
  <c r="R77" i="4"/>
  <c r="R75" i="4"/>
  <c r="R74" i="4"/>
  <c r="R73" i="4"/>
  <c r="R72" i="4"/>
  <c r="R71" i="4"/>
  <c r="R69" i="4"/>
  <c r="R68" i="4"/>
  <c r="R66" i="4"/>
  <c r="R65" i="4"/>
  <c r="R64" i="4"/>
  <c r="R63" i="4"/>
  <c r="R62" i="4"/>
  <c r="R61" i="4"/>
  <c r="R60" i="4"/>
  <c r="R59" i="4"/>
  <c r="R43" i="4"/>
  <c r="R42" i="4"/>
  <c r="R41" i="4"/>
  <c r="R40" i="4"/>
  <c r="R39" i="4"/>
  <c r="R37" i="4"/>
  <c r="R35" i="4"/>
  <c r="R34" i="4"/>
  <c r="R15" i="4"/>
  <c r="R11" i="4"/>
  <c r="R10" i="4"/>
  <c r="C22" i="10" l="1"/>
  <c r="S17" i="4" s="1"/>
  <c r="O134" i="4" l="1"/>
  <c r="T134" i="4" s="1"/>
  <c r="U134" i="4" s="1"/>
  <c r="P134" i="4" l="1"/>
  <c r="L1048576" i="7" l="1"/>
  <c r="O41" i="7" l="1"/>
  <c r="O48" i="7"/>
  <c r="O101"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8" i="7"/>
  <c r="M129" i="7"/>
  <c r="M130" i="7"/>
  <c r="M131" i="7"/>
  <c r="M132" i="7"/>
  <c r="M133" i="7"/>
  <c r="M134" i="7"/>
  <c r="M135" i="7"/>
  <c r="M136" i="7"/>
  <c r="M137" i="7"/>
  <c r="M138" i="7"/>
  <c r="M139" i="7"/>
  <c r="M140" i="7"/>
  <c r="M141" i="7"/>
  <c r="M142" i="7"/>
  <c r="M127"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4" i="7"/>
  <c r="M175" i="7"/>
  <c r="M176" i="7"/>
  <c r="M177" i="7"/>
  <c r="M178" i="7"/>
  <c r="M179" i="7"/>
  <c r="M180" i="7"/>
  <c r="M181" i="7"/>
  <c r="M182" i="7"/>
  <c r="D164" i="7"/>
  <c r="D165" i="7"/>
  <c r="D166" i="7"/>
  <c r="D167" i="7"/>
  <c r="D168" i="7"/>
  <c r="D169" i="7"/>
  <c r="D170" i="7"/>
  <c r="D171" i="7"/>
  <c r="D172" i="7"/>
  <c r="D173" i="7"/>
  <c r="D174" i="7"/>
  <c r="D175" i="7"/>
  <c r="D176" i="7"/>
  <c r="D177" i="7"/>
  <c r="D178" i="7"/>
  <c r="D179" i="7"/>
  <c r="D180" i="7"/>
  <c r="D181" i="7"/>
  <c r="D182" i="7"/>
  <c r="D163" i="7"/>
  <c r="D142" i="7"/>
  <c r="D127" i="7"/>
  <c r="D143" i="7"/>
  <c r="D144" i="7"/>
  <c r="D145" i="7"/>
  <c r="D146" i="7"/>
  <c r="D147" i="7"/>
  <c r="D148" i="7"/>
  <c r="D149" i="7"/>
  <c r="D150" i="7"/>
  <c r="D151" i="7"/>
  <c r="D152" i="7"/>
  <c r="D153" i="7"/>
  <c r="D154" i="7"/>
  <c r="D155" i="7"/>
  <c r="D156" i="7"/>
  <c r="D157" i="7"/>
  <c r="D158" i="7"/>
  <c r="D159" i="7"/>
  <c r="D160" i="7"/>
  <c r="D161" i="7"/>
  <c r="D162" i="7"/>
  <c r="D112" i="7"/>
  <c r="D113" i="7"/>
  <c r="D114" i="7"/>
  <c r="D115" i="7"/>
  <c r="D116" i="7"/>
  <c r="D117" i="7"/>
  <c r="D118" i="7"/>
  <c r="D119" i="7"/>
  <c r="D120" i="7"/>
  <c r="D121" i="7"/>
  <c r="D122" i="7"/>
  <c r="D123" i="7"/>
  <c r="D124" i="7"/>
  <c r="D125" i="7"/>
  <c r="D126" i="7"/>
  <c r="D128" i="7"/>
  <c r="D129" i="7"/>
  <c r="D130" i="7"/>
  <c r="D131" i="7"/>
  <c r="D132" i="7"/>
  <c r="D133" i="7"/>
  <c r="D134" i="7"/>
  <c r="D135" i="7"/>
  <c r="D136" i="7"/>
  <c r="D137" i="7"/>
  <c r="D138" i="7"/>
  <c r="D139" i="7"/>
  <c r="D140" i="7"/>
  <c r="D141" i="7"/>
  <c r="D100" i="7"/>
  <c r="D101" i="7"/>
  <c r="D102" i="7"/>
  <c r="D103" i="7"/>
  <c r="D104" i="7"/>
  <c r="D105" i="7"/>
  <c r="D106" i="7"/>
  <c r="D107" i="7"/>
  <c r="D108" i="7"/>
  <c r="D109" i="7"/>
  <c r="D110" i="7"/>
  <c r="D111" i="7"/>
  <c r="D75" i="7"/>
  <c r="D76" i="7"/>
  <c r="D77" i="7"/>
  <c r="D78" i="7"/>
  <c r="D79" i="7"/>
  <c r="D80" i="7"/>
  <c r="D81" i="7"/>
  <c r="D82" i="7"/>
  <c r="D83" i="7"/>
  <c r="D84" i="7"/>
  <c r="D85" i="7"/>
  <c r="D86" i="7"/>
  <c r="D87" i="7"/>
  <c r="D88" i="7"/>
  <c r="D89" i="7"/>
  <c r="D90" i="7"/>
  <c r="D91" i="7"/>
  <c r="D92" i="7"/>
  <c r="D93" i="7"/>
  <c r="D94" i="7"/>
  <c r="D95" i="7"/>
  <c r="D96" i="7"/>
  <c r="D97" i="7"/>
  <c r="D98" i="7"/>
  <c r="D99" i="7"/>
  <c r="D50" i="7"/>
  <c r="D51" i="7"/>
  <c r="D52" i="7"/>
  <c r="D53" i="7"/>
  <c r="D54" i="7"/>
  <c r="D55" i="7"/>
  <c r="D56" i="7"/>
  <c r="D57" i="7"/>
  <c r="D58" i="7"/>
  <c r="D59" i="7"/>
  <c r="D60" i="7"/>
  <c r="D61" i="7"/>
  <c r="D62" i="7"/>
  <c r="D63" i="7"/>
  <c r="D64" i="7"/>
  <c r="D65" i="7"/>
  <c r="D66" i="7"/>
  <c r="D67" i="7"/>
  <c r="D68" i="7"/>
  <c r="D69" i="7"/>
  <c r="D70" i="7"/>
  <c r="D71" i="7"/>
  <c r="D72" i="7"/>
  <c r="D73" i="7"/>
  <c r="D74"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F177" i="7"/>
  <c r="F178" i="7"/>
  <c r="F179" i="7"/>
  <c r="F180" i="7"/>
  <c r="F181" i="7"/>
  <c r="F182" i="7"/>
  <c r="E171" i="13"/>
  <c r="O179" i="7" s="1"/>
  <c r="F175" i="7"/>
  <c r="F176" i="7"/>
  <c r="E167" i="13"/>
  <c r="O175" i="7" s="1"/>
  <c r="F166" i="7"/>
  <c r="F167" i="7"/>
  <c r="F168" i="7"/>
  <c r="F169" i="7"/>
  <c r="F170" i="7"/>
  <c r="F171" i="7"/>
  <c r="F172" i="7"/>
  <c r="F173" i="7"/>
  <c r="F174" i="7"/>
  <c r="F164" i="7"/>
  <c r="F165" i="7"/>
  <c r="F162" i="7"/>
  <c r="F163" i="7"/>
  <c r="F160" i="7"/>
  <c r="F161" i="7"/>
  <c r="F155" i="7"/>
  <c r="F156" i="7"/>
  <c r="F157" i="7"/>
  <c r="F158" i="7"/>
  <c r="F159" i="7"/>
  <c r="F142" i="7"/>
  <c r="F127" i="7"/>
  <c r="F143" i="7"/>
  <c r="F144" i="7"/>
  <c r="F145" i="7"/>
  <c r="F146" i="7"/>
  <c r="F147" i="7"/>
  <c r="F148" i="7"/>
  <c r="F149" i="7"/>
  <c r="F150" i="7"/>
  <c r="F151" i="7"/>
  <c r="F152" i="7"/>
  <c r="F153" i="7"/>
  <c r="F154" i="7"/>
  <c r="F141" i="7"/>
  <c r="E132" i="13"/>
  <c r="O141" i="7" s="1"/>
  <c r="F138" i="7"/>
  <c r="F139" i="7"/>
  <c r="F140" i="7"/>
  <c r="F131" i="7"/>
  <c r="F132" i="7"/>
  <c r="F133" i="7"/>
  <c r="F134" i="7"/>
  <c r="F135" i="7"/>
  <c r="F136" i="7"/>
  <c r="F137" i="7"/>
  <c r="E122" i="13"/>
  <c r="O131" i="7" s="1"/>
  <c r="F129" i="7"/>
  <c r="F130" i="7"/>
  <c r="F118" i="7"/>
  <c r="F119" i="7"/>
  <c r="F120" i="7"/>
  <c r="F121" i="7"/>
  <c r="F122" i="7"/>
  <c r="F123" i="7"/>
  <c r="F124" i="7"/>
  <c r="F125" i="7"/>
  <c r="F126" i="7"/>
  <c r="F128" i="7"/>
  <c r="E110" i="13"/>
  <c r="O118" i="7" s="1"/>
  <c r="F117" i="7"/>
  <c r="E109" i="13"/>
  <c r="O117" i="7" s="1"/>
  <c r="E107" i="13"/>
  <c r="O115" i="7" s="1"/>
  <c r="F115" i="7"/>
  <c r="F116" i="7"/>
  <c r="F112" i="7"/>
  <c r="F113" i="7"/>
  <c r="F114" i="7"/>
  <c r="F102" i="7"/>
  <c r="F103" i="7"/>
  <c r="F104" i="7"/>
  <c r="F105" i="7"/>
  <c r="F106" i="7"/>
  <c r="F107" i="7"/>
  <c r="F108" i="7"/>
  <c r="F109" i="7"/>
  <c r="F110" i="7"/>
  <c r="F111" i="7"/>
  <c r="F100" i="7"/>
  <c r="F101" i="7"/>
  <c r="F92" i="7"/>
  <c r="F93" i="7"/>
  <c r="F94" i="7"/>
  <c r="F95" i="7"/>
  <c r="F96" i="7"/>
  <c r="F97" i="7"/>
  <c r="F98" i="7"/>
  <c r="F99" i="7"/>
  <c r="F75" i="7"/>
  <c r="F76" i="7"/>
  <c r="F77" i="7"/>
  <c r="F78" i="7"/>
  <c r="F79" i="7"/>
  <c r="F80" i="7"/>
  <c r="F81" i="7"/>
  <c r="F82" i="7"/>
  <c r="F83" i="7"/>
  <c r="F84" i="7"/>
  <c r="F85" i="7"/>
  <c r="F86" i="7"/>
  <c r="F87" i="7"/>
  <c r="F88" i="7"/>
  <c r="F89" i="7"/>
  <c r="F90" i="7"/>
  <c r="F91" i="7"/>
  <c r="F65" i="7"/>
  <c r="F66" i="7"/>
  <c r="F67" i="7"/>
  <c r="F68" i="7"/>
  <c r="F69" i="7"/>
  <c r="F70" i="7"/>
  <c r="F71" i="7"/>
  <c r="F72" i="7"/>
  <c r="F73" i="7"/>
  <c r="F74" i="7"/>
  <c r="E57" i="13"/>
  <c r="O65" i="7" s="1"/>
  <c r="F52" i="7"/>
  <c r="F53" i="7"/>
  <c r="F54" i="7"/>
  <c r="F55" i="7"/>
  <c r="F56" i="7"/>
  <c r="F57" i="7"/>
  <c r="F58" i="7"/>
  <c r="F59" i="7"/>
  <c r="F60" i="7"/>
  <c r="F61" i="7"/>
  <c r="F62" i="7"/>
  <c r="F63" i="7"/>
  <c r="F64" i="7"/>
  <c r="E44" i="13"/>
  <c r="O52" i="7" s="1"/>
  <c r="F50" i="7"/>
  <c r="F51" i="7"/>
  <c r="F48" i="7"/>
  <c r="F49" i="7"/>
  <c r="F47" i="7" l="1"/>
  <c r="E39" i="13"/>
  <c r="O47" i="7" s="1"/>
  <c r="F42" i="7"/>
  <c r="F43" i="7"/>
  <c r="F44" i="7"/>
  <c r="F45" i="7"/>
  <c r="F46" i="7"/>
  <c r="F38" i="7"/>
  <c r="F39" i="7"/>
  <c r="F40" i="7"/>
  <c r="F41" i="7"/>
  <c r="E31" i="13"/>
  <c r="O39" i="7" s="1"/>
  <c r="F34" i="7"/>
  <c r="F35" i="7"/>
  <c r="F36" i="7"/>
  <c r="F37" i="7"/>
  <c r="E26" i="13"/>
  <c r="O34" i="7" s="1"/>
  <c r="F27" i="7"/>
  <c r="F28" i="7"/>
  <c r="F29" i="7"/>
  <c r="F30" i="7"/>
  <c r="F31" i="7"/>
  <c r="F32" i="7"/>
  <c r="F33" i="7"/>
  <c r="E19" i="13"/>
  <c r="O27" i="7" s="1"/>
  <c r="E18" i="13"/>
  <c r="O26" i="7" s="1"/>
  <c r="F23" i="7"/>
  <c r="F24" i="7"/>
  <c r="F25" i="7"/>
  <c r="F26" i="7"/>
  <c r="E15" i="13"/>
  <c r="O23" i="7" s="1"/>
  <c r="F21" i="7"/>
  <c r="F22" i="7"/>
  <c r="E13" i="13"/>
  <c r="O21" i="7" s="1"/>
  <c r="F18" i="7"/>
  <c r="F19" i="7"/>
  <c r="F20" i="7"/>
  <c r="E11" i="13"/>
  <c r="O19" i="7" s="1"/>
  <c r="E10" i="13"/>
  <c r="O18" i="7" s="1"/>
  <c r="F16" i="7"/>
  <c r="F17" i="7"/>
  <c r="F11" i="7"/>
  <c r="F12" i="7"/>
  <c r="F13" i="7"/>
  <c r="F14" i="7"/>
  <c r="F15" i="7"/>
  <c r="E3" i="13"/>
  <c r="O11" i="7" s="1"/>
  <c r="E4" i="13"/>
  <c r="O12" i="7" s="1"/>
  <c r="F10" i="7" l="1"/>
  <c r="M10" i="7"/>
  <c r="N19" i="4"/>
  <c r="O19" i="4" s="1"/>
  <c r="P19" i="4" s="1"/>
  <c r="N26" i="4"/>
  <c r="O26" i="4" s="1"/>
  <c r="N25" i="4"/>
  <c r="O25" i="4" s="1"/>
  <c r="P25" i="4" s="1"/>
  <c r="N45" i="4"/>
  <c r="O45" i="4" s="1"/>
  <c r="P45" i="4" s="1"/>
  <c r="N51" i="4"/>
  <c r="O51" i="4" s="1"/>
  <c r="P51" i="4" s="1"/>
  <c r="N53" i="4"/>
  <c r="O53" i="4" s="1"/>
  <c r="P53" i="4" s="1"/>
  <c r="N54" i="4"/>
  <c r="O54" i="4" s="1"/>
  <c r="N57" i="4"/>
  <c r="O57" i="4" s="1"/>
  <c r="P57" i="4" s="1"/>
  <c r="N61" i="4"/>
  <c r="O61" i="4" s="1"/>
  <c r="N66" i="4"/>
  <c r="O66" i="4" s="1"/>
  <c r="N78" i="4"/>
  <c r="O78" i="4" s="1"/>
  <c r="P78" i="4" s="1"/>
  <c r="N88" i="4"/>
  <c r="O88" i="4" s="1"/>
  <c r="P88" i="4" s="1"/>
  <c r="N97" i="4"/>
  <c r="O97" i="4" s="1"/>
  <c r="P97" i="4" s="1"/>
  <c r="N99" i="4"/>
  <c r="O99" i="4" s="1"/>
  <c r="N108" i="4"/>
  <c r="O108" i="4" s="1"/>
  <c r="P108" i="4" s="1"/>
  <c r="N121" i="4"/>
  <c r="O121" i="4" s="1"/>
  <c r="P121" i="4" s="1"/>
  <c r="N123" i="4"/>
  <c r="O123" i="4" s="1"/>
  <c r="P123" i="4" s="1"/>
  <c r="N127" i="4"/>
  <c r="O127" i="4" s="1"/>
  <c r="P127" i="4" s="1"/>
  <c r="N141" i="4"/>
  <c r="O141" i="4" s="1"/>
  <c r="P141" i="4" s="1"/>
  <c r="N145" i="4"/>
  <c r="O145" i="4" s="1"/>
  <c r="P145" i="4" s="1"/>
  <c r="N169" i="4"/>
  <c r="O169" i="4" s="1"/>
  <c r="P169" i="4" s="1"/>
  <c r="P99" i="4" l="1"/>
  <c r="T99" i="4"/>
  <c r="U99" i="4" s="1"/>
  <c r="P66" i="4"/>
  <c r="T66" i="4"/>
  <c r="U66" i="4" s="1"/>
  <c r="T26" i="4"/>
  <c r="U26" i="4" s="1"/>
  <c r="P26" i="4"/>
  <c r="P54" i="4"/>
  <c r="T54" i="4"/>
  <c r="U54" i="4" s="1"/>
  <c r="R27" i="7"/>
  <c r="S27" i="7" s="1"/>
  <c r="D10" i="7"/>
  <c r="E174" i="13" l="1"/>
  <c r="O182" i="7" s="1"/>
  <c r="E173" i="13"/>
  <c r="O181" i="7" s="1"/>
  <c r="E172" i="13"/>
  <c r="O180" i="7" s="1"/>
  <c r="E170" i="13"/>
  <c r="O178" i="7" s="1"/>
  <c r="E169" i="13"/>
  <c r="O177" i="7" s="1"/>
  <c r="E168" i="13"/>
  <c r="O176" i="7" s="1"/>
  <c r="E166" i="13"/>
  <c r="O174" i="7" s="1"/>
  <c r="E165" i="13"/>
  <c r="O173" i="7" s="1"/>
  <c r="E164" i="13"/>
  <c r="O172" i="7" s="1"/>
  <c r="E163" i="13"/>
  <c r="O171" i="7" s="1"/>
  <c r="E162" i="13"/>
  <c r="O170" i="7" s="1"/>
  <c r="E161" i="13"/>
  <c r="O169" i="7" s="1"/>
  <c r="E160" i="13"/>
  <c r="O168" i="7" s="1"/>
  <c r="E159" i="13"/>
  <c r="O167" i="7" s="1"/>
  <c r="E158" i="13"/>
  <c r="O166" i="7" s="1"/>
  <c r="E157" i="13"/>
  <c r="O165" i="7" s="1"/>
  <c r="E156" i="13"/>
  <c r="O164" i="7" s="1"/>
  <c r="E155" i="13"/>
  <c r="O163" i="7" s="1"/>
  <c r="E154" i="13"/>
  <c r="O162" i="7" s="1"/>
  <c r="E153" i="13"/>
  <c r="O161" i="7" s="1"/>
  <c r="E152" i="13"/>
  <c r="O160" i="7" s="1"/>
  <c r="E151" i="13"/>
  <c r="O159" i="7" s="1"/>
  <c r="E150" i="13"/>
  <c r="O158" i="7" s="1"/>
  <c r="E149" i="13"/>
  <c r="O157" i="7" s="1"/>
  <c r="E148" i="13"/>
  <c r="O156" i="7" s="1"/>
  <c r="E147" i="13"/>
  <c r="O155" i="7" s="1"/>
  <c r="E146" i="13"/>
  <c r="O154" i="7" s="1"/>
  <c r="E145" i="13"/>
  <c r="O153" i="7" s="1"/>
  <c r="E144" i="13"/>
  <c r="O152" i="7" s="1"/>
  <c r="E143" i="13"/>
  <c r="O151" i="7" s="1"/>
  <c r="E142" i="13"/>
  <c r="O150" i="7" s="1"/>
  <c r="E141" i="13"/>
  <c r="O149" i="7" s="1"/>
  <c r="E140" i="13"/>
  <c r="O148" i="7" s="1"/>
  <c r="E139" i="13"/>
  <c r="O147" i="7" s="1"/>
  <c r="E138" i="13"/>
  <c r="O146" i="7" s="1"/>
  <c r="E137" i="13"/>
  <c r="O145" i="7" s="1"/>
  <c r="E136" i="13"/>
  <c r="O144" i="7" s="1"/>
  <c r="E135" i="13"/>
  <c r="O143" i="7" s="1"/>
  <c r="E134" i="13"/>
  <c r="O127" i="7" s="1"/>
  <c r="E133" i="13"/>
  <c r="O142" i="7" s="1"/>
  <c r="E131" i="13"/>
  <c r="O140" i="7" s="1"/>
  <c r="E130" i="13"/>
  <c r="O139" i="7" s="1"/>
  <c r="E129" i="13"/>
  <c r="O138" i="7" s="1"/>
  <c r="E128" i="13"/>
  <c r="O137" i="7" s="1"/>
  <c r="E127" i="13"/>
  <c r="O136" i="7" s="1"/>
  <c r="E126" i="13"/>
  <c r="O135" i="7" s="1"/>
  <c r="E125" i="13"/>
  <c r="O134" i="7" s="1"/>
  <c r="E124" i="13"/>
  <c r="O133" i="7" s="1"/>
  <c r="E123" i="13"/>
  <c r="O132" i="7" s="1"/>
  <c r="E121" i="13"/>
  <c r="O130" i="7" s="1"/>
  <c r="E120" i="13"/>
  <c r="O129" i="7" s="1"/>
  <c r="E119" i="13"/>
  <c r="O128" i="7" s="1"/>
  <c r="E118" i="13"/>
  <c r="O126" i="7" s="1"/>
  <c r="E117" i="13"/>
  <c r="O125" i="7" s="1"/>
  <c r="E116" i="13"/>
  <c r="O124" i="7" s="1"/>
  <c r="E115" i="13"/>
  <c r="O123" i="7" s="1"/>
  <c r="E114" i="13"/>
  <c r="O122" i="7" s="1"/>
  <c r="E113" i="13"/>
  <c r="O121" i="7" s="1"/>
  <c r="E112" i="13"/>
  <c r="O120" i="7" s="1"/>
  <c r="E111" i="13"/>
  <c r="O119" i="7" s="1"/>
  <c r="E108" i="13"/>
  <c r="O116" i="7" s="1"/>
  <c r="E106" i="13"/>
  <c r="O114" i="7" s="1"/>
  <c r="E105" i="13"/>
  <c r="O113" i="7" s="1"/>
  <c r="E104" i="13"/>
  <c r="O112" i="7" s="1"/>
  <c r="E103" i="13"/>
  <c r="O111" i="7" s="1"/>
  <c r="E102" i="13"/>
  <c r="O110" i="7" s="1"/>
  <c r="E101" i="13"/>
  <c r="O109" i="7" s="1"/>
  <c r="E100" i="13"/>
  <c r="O108" i="7" s="1"/>
  <c r="E99" i="13"/>
  <c r="O107" i="7" s="1"/>
  <c r="E98" i="13"/>
  <c r="O106" i="7" s="1"/>
  <c r="E97" i="13"/>
  <c r="O105" i="7" s="1"/>
  <c r="E96" i="13"/>
  <c r="O104" i="7" s="1"/>
  <c r="E95" i="13"/>
  <c r="O103" i="7" s="1"/>
  <c r="E94" i="13"/>
  <c r="O102" i="7" s="1"/>
  <c r="E92" i="13"/>
  <c r="O100" i="7" s="1"/>
  <c r="E91" i="13"/>
  <c r="O99" i="7" s="1"/>
  <c r="E90" i="13"/>
  <c r="O98" i="7" s="1"/>
  <c r="E89" i="13"/>
  <c r="O97" i="7" s="1"/>
  <c r="E88" i="13"/>
  <c r="O96" i="7" s="1"/>
  <c r="E87" i="13"/>
  <c r="O95" i="7" s="1"/>
  <c r="E86" i="13"/>
  <c r="O94" i="7" s="1"/>
  <c r="E85" i="13"/>
  <c r="O93" i="7" s="1"/>
  <c r="E84" i="13"/>
  <c r="O92" i="7" s="1"/>
  <c r="E83" i="13"/>
  <c r="O91" i="7" s="1"/>
  <c r="E82" i="13"/>
  <c r="O90" i="7" s="1"/>
  <c r="E81" i="13"/>
  <c r="O89" i="7" s="1"/>
  <c r="E80" i="13"/>
  <c r="O88" i="7" s="1"/>
  <c r="E79" i="13"/>
  <c r="O87" i="7" s="1"/>
  <c r="E78" i="13"/>
  <c r="O86" i="7" s="1"/>
  <c r="E77" i="13"/>
  <c r="O85" i="7" s="1"/>
  <c r="E76" i="13"/>
  <c r="O84" i="7" s="1"/>
  <c r="E75" i="13"/>
  <c r="O83" i="7" s="1"/>
  <c r="E74" i="13"/>
  <c r="O82" i="7" s="1"/>
  <c r="E73" i="13"/>
  <c r="O81" i="7" s="1"/>
  <c r="E72" i="13"/>
  <c r="O80" i="7" s="1"/>
  <c r="E71" i="13"/>
  <c r="O79" i="7" s="1"/>
  <c r="E70" i="13"/>
  <c r="O78" i="7" s="1"/>
  <c r="E69" i="13"/>
  <c r="O77" i="7" s="1"/>
  <c r="E68" i="13"/>
  <c r="O76" i="7" s="1"/>
  <c r="E67" i="13"/>
  <c r="O75" i="7" s="1"/>
  <c r="E66" i="13"/>
  <c r="O74" i="7" s="1"/>
  <c r="E65" i="13"/>
  <c r="O73" i="7" s="1"/>
  <c r="E64" i="13"/>
  <c r="O72" i="7" s="1"/>
  <c r="E63" i="13"/>
  <c r="O71" i="7" s="1"/>
  <c r="E62" i="13"/>
  <c r="O70" i="7" s="1"/>
  <c r="E61" i="13"/>
  <c r="O69" i="7" s="1"/>
  <c r="E60" i="13"/>
  <c r="O68" i="7" s="1"/>
  <c r="E59" i="13"/>
  <c r="O67" i="7" s="1"/>
  <c r="E58" i="13"/>
  <c r="O66" i="7" s="1"/>
  <c r="E56" i="13"/>
  <c r="O64" i="7" s="1"/>
  <c r="E55" i="13"/>
  <c r="O63" i="7" s="1"/>
  <c r="E54" i="13"/>
  <c r="O62" i="7" s="1"/>
  <c r="E53" i="13"/>
  <c r="O61" i="7" s="1"/>
  <c r="E52" i="13"/>
  <c r="O60" i="7" s="1"/>
  <c r="E51" i="13"/>
  <c r="O59" i="7" s="1"/>
  <c r="E50" i="13"/>
  <c r="O58" i="7" s="1"/>
  <c r="E49" i="13"/>
  <c r="O57" i="7" s="1"/>
  <c r="E48" i="13"/>
  <c r="O56" i="7" s="1"/>
  <c r="E47" i="13"/>
  <c r="O55" i="7" s="1"/>
  <c r="E46" i="13"/>
  <c r="O54" i="7" s="1"/>
  <c r="E45" i="13"/>
  <c r="O53" i="7" s="1"/>
  <c r="E43" i="13"/>
  <c r="O51" i="7" s="1"/>
  <c r="E42" i="13"/>
  <c r="O50" i="7" s="1"/>
  <c r="E41" i="13"/>
  <c r="O49" i="7" s="1"/>
  <c r="E38" i="13"/>
  <c r="O46" i="7" s="1"/>
  <c r="E37" i="13"/>
  <c r="O45" i="7" s="1"/>
  <c r="E36" i="13"/>
  <c r="O44" i="7" s="1"/>
  <c r="E35" i="13"/>
  <c r="O43" i="7" s="1"/>
  <c r="E34" i="13"/>
  <c r="O42" i="7" s="1"/>
  <c r="E32" i="13"/>
  <c r="O40" i="7" s="1"/>
  <c r="E30" i="13"/>
  <c r="O38" i="7" s="1"/>
  <c r="E29" i="13"/>
  <c r="O37" i="7" s="1"/>
  <c r="E28" i="13"/>
  <c r="O36" i="7" s="1"/>
  <c r="E27" i="13"/>
  <c r="O35" i="7" s="1"/>
  <c r="E25" i="13"/>
  <c r="O33" i="7" s="1"/>
  <c r="E24" i="13"/>
  <c r="O32" i="7" s="1"/>
  <c r="E23" i="13"/>
  <c r="O31" i="7" s="1"/>
  <c r="E22" i="13"/>
  <c r="O30" i="7" s="1"/>
  <c r="E21" i="13"/>
  <c r="O29" i="7" s="1"/>
  <c r="E20" i="13"/>
  <c r="O28" i="7" s="1"/>
  <c r="E17" i="13"/>
  <c r="O25" i="7" s="1"/>
  <c r="E16" i="13"/>
  <c r="O24" i="7" s="1"/>
  <c r="E14" i="13"/>
  <c r="O22" i="7" s="1"/>
  <c r="E12" i="13"/>
  <c r="O20" i="7" s="1"/>
  <c r="E9" i="13"/>
  <c r="O17" i="7" s="1"/>
  <c r="E8" i="13"/>
  <c r="O16" i="7" s="1"/>
  <c r="E7" i="13"/>
  <c r="O15" i="7" s="1"/>
  <c r="E6" i="13"/>
  <c r="O14" i="7" s="1"/>
  <c r="E5" i="13"/>
  <c r="O13" i="7" s="1"/>
  <c r="E2" i="13"/>
  <c r="O10" i="7" s="1"/>
  <c r="C139" i="10"/>
  <c r="C138" i="10"/>
  <c r="C140" i="10" s="1"/>
  <c r="AA32" i="4"/>
  <c r="AB32" i="4" s="1"/>
  <c r="S6" i="4"/>
  <c r="N175" i="4" l="1"/>
  <c r="O175" i="4" s="1"/>
  <c r="P175" i="4" s="1"/>
  <c r="N176" i="4"/>
  <c r="O176" i="4" s="1"/>
  <c r="P176" i="4" s="1"/>
  <c r="N50" i="4"/>
  <c r="O50" i="4" s="1"/>
  <c r="T50" i="4" s="1"/>
  <c r="U50" i="4" s="1"/>
  <c r="N55" i="4"/>
  <c r="O55" i="4" s="1"/>
  <c r="T55" i="4" s="1"/>
  <c r="U55" i="4" s="1"/>
  <c r="S175" i="4"/>
  <c r="S176" i="4"/>
  <c r="S173" i="4"/>
  <c r="S172" i="4"/>
  <c r="S170" i="4"/>
  <c r="S169" i="4"/>
  <c r="T169" i="4" s="1"/>
  <c r="U169" i="4" s="1"/>
  <c r="S168" i="4"/>
  <c r="S166" i="4"/>
  <c r="S164" i="4"/>
  <c r="S163" i="4"/>
  <c r="S162" i="4"/>
  <c r="S161" i="4"/>
  <c r="S158" i="4"/>
  <c r="S157" i="4"/>
  <c r="S156" i="4"/>
  <c r="S155" i="4"/>
  <c r="S154" i="4"/>
  <c r="S153" i="4"/>
  <c r="S152" i="4"/>
  <c r="S151" i="4"/>
  <c r="S149" i="4"/>
  <c r="S145" i="4"/>
  <c r="T145" i="4" s="1"/>
  <c r="U145" i="4" s="1"/>
  <c r="S144" i="4"/>
  <c r="S142" i="4"/>
  <c r="S141" i="4"/>
  <c r="T141" i="4" s="1"/>
  <c r="U141" i="4" s="1"/>
  <c r="S140" i="4"/>
  <c r="S138" i="4"/>
  <c r="S137" i="4"/>
  <c r="S136" i="4"/>
  <c r="S135" i="4"/>
  <c r="S133" i="4"/>
  <c r="S129" i="4"/>
  <c r="S128" i="4"/>
  <c r="S127" i="4"/>
  <c r="T127" i="4" s="1"/>
  <c r="U127" i="4" s="1"/>
  <c r="S126" i="4"/>
  <c r="S125" i="4"/>
  <c r="S124" i="4"/>
  <c r="S123" i="4"/>
  <c r="T123" i="4" s="1"/>
  <c r="U123" i="4" s="1"/>
  <c r="S119" i="4"/>
  <c r="S118" i="4"/>
  <c r="S117" i="4"/>
  <c r="S116" i="4"/>
  <c r="S115" i="4"/>
  <c r="S113" i="4"/>
  <c r="S112" i="4"/>
  <c r="S111" i="4"/>
  <c r="S109" i="4"/>
  <c r="S108" i="4"/>
  <c r="T108" i="4" s="1"/>
  <c r="U108" i="4" s="1"/>
  <c r="S106" i="4"/>
  <c r="S105" i="4"/>
  <c r="S103" i="4"/>
  <c r="S101" i="4"/>
  <c r="S96" i="4"/>
  <c r="S98" i="4"/>
  <c r="S97" i="4"/>
  <c r="T97" i="4" s="1"/>
  <c r="U97" i="4" s="1"/>
  <c r="S95" i="4"/>
  <c r="S94" i="4"/>
  <c r="S93" i="4"/>
  <c r="S92" i="4"/>
  <c r="S90" i="4"/>
  <c r="S89" i="4"/>
  <c r="S88" i="4"/>
  <c r="T88" i="4" s="1"/>
  <c r="U88" i="4" s="1"/>
  <c r="S85" i="4"/>
  <c r="S83" i="4"/>
  <c r="S82" i="4"/>
  <c r="S81" i="4"/>
  <c r="S79" i="4"/>
  <c r="S78" i="4"/>
  <c r="T78" i="4" s="1"/>
  <c r="U78" i="4" s="1"/>
  <c r="S70" i="4"/>
  <c r="S76" i="4"/>
  <c r="S75" i="4"/>
  <c r="S74" i="4"/>
  <c r="S73" i="4"/>
  <c r="S72" i="4"/>
  <c r="P50" i="4" l="1"/>
  <c r="P55" i="4"/>
  <c r="T176" i="4"/>
  <c r="T175" i="4"/>
  <c r="S80" i="4"/>
  <c r="S84" i="4"/>
  <c r="S77" i="4"/>
  <c r="S143" i="4"/>
  <c r="S130" i="4"/>
  <c r="S91" i="4"/>
  <c r="U175" i="4" l="1"/>
  <c r="U176" i="4"/>
  <c r="S131" i="4"/>
  <c r="S148" i="4"/>
  <c r="S69" i="4"/>
  <c r="S68" i="4"/>
  <c r="S65" i="4"/>
  <c r="S62" i="4"/>
  <c r="S61" i="4"/>
  <c r="T61" i="4" s="1"/>
  <c r="U61" i="4" s="1"/>
  <c r="S60" i="4"/>
  <c r="S59" i="4"/>
  <c r="S58" i="4"/>
  <c r="C20" i="10"/>
  <c r="S53" i="4" s="1"/>
  <c r="T53" i="4" s="1"/>
  <c r="U53" i="4" s="1"/>
  <c r="S49" i="4"/>
  <c r="S47" i="4"/>
  <c r="S46" i="4"/>
  <c r="S45" i="4"/>
  <c r="T45" i="4" s="1"/>
  <c r="U45" i="4" s="1"/>
  <c r="S34" i="4"/>
  <c r="S36" i="4"/>
  <c r="S30" i="4"/>
  <c r="S21" i="4"/>
  <c r="S20" i="4"/>
  <c r="C18" i="10"/>
  <c r="S12" i="4"/>
  <c r="S165" i="4" l="1"/>
  <c r="S102" i="4" l="1"/>
  <c r="S100" i="4"/>
  <c r="S51" i="4"/>
  <c r="T51" i="4" s="1"/>
  <c r="U51" i="4" s="1"/>
  <c r="S57" i="4"/>
  <c r="T57" i="4" s="1"/>
  <c r="U57" i="4" s="1"/>
  <c r="S56" i="4"/>
  <c r="Q56" i="4"/>
  <c r="M64" i="7" s="1"/>
  <c r="C8" i="10"/>
  <c r="S10" i="4" l="1"/>
  <c r="S13" i="4"/>
  <c r="S25" i="4"/>
  <c r="T25" i="4" s="1"/>
  <c r="U25" i="4" s="1"/>
  <c r="S14" i="4"/>
  <c r="S16" i="4"/>
  <c r="S19" i="4"/>
  <c r="S8" i="4"/>
  <c r="S7" i="4"/>
  <c r="S121" i="4"/>
  <c r="T121" i="4" s="1"/>
  <c r="U121" i="4" s="1"/>
  <c r="G3" i="11"/>
  <c r="G2" i="11"/>
  <c r="S3" i="4"/>
  <c r="S5" i="4"/>
  <c r="T19" i="4" l="1"/>
  <c r="S4" i="4"/>
  <c r="T27" i="7" l="1"/>
  <c r="U19" i="4"/>
  <c r="S2" i="4"/>
  <c r="M174" i="4"/>
  <c r="M173" i="4"/>
  <c r="M172" i="4"/>
  <c r="M171" i="4"/>
  <c r="M170" i="4"/>
  <c r="M168" i="4"/>
  <c r="M167" i="4"/>
  <c r="M166" i="4"/>
  <c r="M165" i="4"/>
  <c r="M164" i="4"/>
  <c r="M163" i="4"/>
  <c r="M162" i="4"/>
  <c r="M161" i="4"/>
  <c r="M160" i="4"/>
  <c r="M159" i="4"/>
  <c r="M158" i="4"/>
  <c r="M157" i="4"/>
  <c r="M156" i="4"/>
  <c r="M155" i="4"/>
  <c r="M154" i="4"/>
  <c r="M153" i="4"/>
  <c r="M152" i="4"/>
  <c r="M151" i="4"/>
  <c r="M150" i="4"/>
  <c r="M149" i="4"/>
  <c r="M148" i="4"/>
  <c r="M147" i="4"/>
  <c r="M146" i="4"/>
  <c r="M144" i="4"/>
  <c r="M143" i="4"/>
  <c r="M142" i="4"/>
  <c r="M140" i="4"/>
  <c r="M139" i="4"/>
  <c r="M138" i="4"/>
  <c r="M137" i="4"/>
  <c r="M136" i="4"/>
  <c r="M135" i="4"/>
  <c r="M133" i="4"/>
  <c r="M132" i="4"/>
  <c r="M131" i="4"/>
  <c r="M130" i="4"/>
  <c r="M129" i="4"/>
  <c r="M128" i="4"/>
  <c r="M126" i="4"/>
  <c r="M125" i="4"/>
  <c r="M124" i="4"/>
  <c r="M122" i="4"/>
  <c r="M120" i="4"/>
  <c r="M119" i="4"/>
  <c r="M118" i="4"/>
  <c r="M117" i="4"/>
  <c r="M116" i="4"/>
  <c r="M115" i="4"/>
  <c r="M114" i="4"/>
  <c r="M113" i="4"/>
  <c r="M112" i="4"/>
  <c r="M111" i="4"/>
  <c r="M110" i="4"/>
  <c r="M109" i="4"/>
  <c r="M107" i="4"/>
  <c r="M106" i="4"/>
  <c r="M105" i="4"/>
  <c r="M104" i="4"/>
  <c r="M103" i="4"/>
  <c r="M102" i="4"/>
  <c r="M101" i="4"/>
  <c r="M100" i="4"/>
  <c r="M98" i="4"/>
  <c r="M96" i="4"/>
  <c r="M95" i="4"/>
  <c r="M94" i="4"/>
  <c r="M93" i="4"/>
  <c r="M92" i="4"/>
  <c r="M91" i="4"/>
  <c r="M90" i="4"/>
  <c r="M89" i="4"/>
  <c r="M87" i="4"/>
  <c r="M86" i="4"/>
  <c r="M85" i="4"/>
  <c r="M84" i="4"/>
  <c r="M83" i="4"/>
  <c r="M82" i="4"/>
  <c r="M81" i="4"/>
  <c r="M80" i="4"/>
  <c r="M79" i="4"/>
  <c r="M77" i="4"/>
  <c r="M75" i="4"/>
  <c r="M74" i="4"/>
  <c r="M73" i="4"/>
  <c r="M72" i="4"/>
  <c r="M71" i="4"/>
  <c r="M70" i="4"/>
  <c r="M69" i="4"/>
  <c r="M68" i="4"/>
  <c r="M67" i="4"/>
  <c r="M65" i="4"/>
  <c r="M64" i="4"/>
  <c r="M63" i="4"/>
  <c r="M62" i="4"/>
  <c r="M60" i="4"/>
  <c r="M59" i="4"/>
  <c r="M58" i="4"/>
  <c r="M56" i="4"/>
  <c r="M52" i="4"/>
  <c r="M49" i="4"/>
  <c r="M48" i="4"/>
  <c r="M47" i="4"/>
  <c r="M46" i="4"/>
  <c r="M44" i="4"/>
  <c r="M43" i="4"/>
  <c r="M42" i="4"/>
  <c r="M41" i="4"/>
  <c r="M40" i="4"/>
  <c r="M39" i="4"/>
  <c r="M38" i="4"/>
  <c r="M37" i="4"/>
  <c r="M36" i="4"/>
  <c r="M35" i="4"/>
  <c r="M34" i="4"/>
  <c r="M33" i="4"/>
  <c r="M32" i="4"/>
  <c r="M31" i="4"/>
  <c r="M30" i="4"/>
  <c r="M29" i="4"/>
  <c r="M28" i="4"/>
  <c r="M27" i="4"/>
  <c r="M24" i="4"/>
  <c r="M23" i="4"/>
  <c r="M22" i="4"/>
  <c r="M21" i="4"/>
  <c r="M20" i="4"/>
  <c r="M18" i="4"/>
  <c r="M17" i="4" s="1"/>
  <c r="M16" i="4"/>
  <c r="M15" i="4"/>
  <c r="M14" i="4"/>
  <c r="M13" i="4"/>
  <c r="M12" i="4"/>
  <c r="M11" i="4"/>
  <c r="L9" i="4"/>
  <c r="M9" i="4" s="1"/>
  <c r="M10" i="4"/>
  <c r="M8" i="4"/>
  <c r="M7" i="4"/>
  <c r="M6" i="4"/>
  <c r="M5" i="4"/>
  <c r="M3" i="4"/>
  <c r="M2" i="4"/>
  <c r="N27" i="7" l="1"/>
  <c r="P27" i="7" s="1"/>
  <c r="Q27" i="7" s="1"/>
  <c r="J27" i="7" s="1"/>
  <c r="U27" i="7"/>
  <c r="N2" i="4"/>
  <c r="N165" i="4"/>
  <c r="O165" i="4" s="1"/>
  <c r="N44" i="4"/>
  <c r="O44" i="4" s="1"/>
  <c r="N41" i="4"/>
  <c r="O41" i="4" s="1"/>
  <c r="N109" i="4"/>
  <c r="O109" i="4" s="1"/>
  <c r="N11" i="4"/>
  <c r="O11" i="4" s="1"/>
  <c r="N60" i="4"/>
  <c r="O60" i="4" s="1"/>
  <c r="N79" i="4"/>
  <c r="O79" i="4" s="1"/>
  <c r="N110" i="4"/>
  <c r="O110" i="4" s="1"/>
  <c r="N118" i="4"/>
  <c r="O118" i="4" s="1"/>
  <c r="N12" i="4"/>
  <c r="O12" i="4" s="1"/>
  <c r="N30" i="4"/>
  <c r="O30" i="4" s="1"/>
  <c r="N34" i="4"/>
  <c r="O34" i="4" s="1"/>
  <c r="N48" i="4"/>
  <c r="O48" i="4" s="1"/>
  <c r="N62" i="4"/>
  <c r="O62" i="4" s="1"/>
  <c r="N71" i="4"/>
  <c r="O71" i="4" s="1"/>
  <c r="N80" i="4"/>
  <c r="O80" i="4" s="1"/>
  <c r="N87" i="4"/>
  <c r="N103" i="4"/>
  <c r="O103" i="4" s="1"/>
  <c r="N111" i="4"/>
  <c r="O111" i="4" s="1"/>
  <c r="N119" i="4"/>
  <c r="O119" i="4" s="1"/>
  <c r="N126" i="4"/>
  <c r="O126" i="4" s="1"/>
  <c r="N133" i="4"/>
  <c r="O133" i="4" s="1"/>
  <c r="N143" i="4"/>
  <c r="N151" i="4"/>
  <c r="O151" i="4" s="1"/>
  <c r="N164" i="4"/>
  <c r="O164" i="4" s="1"/>
  <c r="N170" i="4"/>
  <c r="O170" i="4" s="1"/>
  <c r="N17" i="4"/>
  <c r="O17" i="4" s="1"/>
  <c r="N59" i="4"/>
  <c r="O59" i="4" s="1"/>
  <c r="N93" i="4"/>
  <c r="O93" i="4" s="1"/>
  <c r="N140" i="4"/>
  <c r="O140" i="4" s="1"/>
  <c r="N157" i="4"/>
  <c r="O157" i="4" s="1"/>
  <c r="N29" i="4"/>
  <c r="O29" i="4" s="1"/>
  <c r="N86" i="4"/>
  <c r="O86" i="4" s="1"/>
  <c r="N20" i="4"/>
  <c r="O20" i="4" s="1"/>
  <c r="N5" i="4"/>
  <c r="N13" i="4"/>
  <c r="O13" i="4" s="1"/>
  <c r="N21" i="4"/>
  <c r="O21" i="4" s="1"/>
  <c r="N35" i="4"/>
  <c r="N49" i="4"/>
  <c r="N63" i="4"/>
  <c r="O63" i="4" s="1"/>
  <c r="N72" i="4"/>
  <c r="O72" i="4" s="1"/>
  <c r="N81" i="4"/>
  <c r="O81" i="4" s="1"/>
  <c r="N89" i="4"/>
  <c r="O89" i="4" s="1"/>
  <c r="N94" i="4"/>
  <c r="O94" i="4" s="1"/>
  <c r="N112" i="4"/>
  <c r="O112" i="4" s="1"/>
  <c r="N128" i="4"/>
  <c r="O128" i="4" s="1"/>
  <c r="N135" i="4"/>
  <c r="O135" i="4" s="1"/>
  <c r="N144" i="4"/>
  <c r="O144" i="4" s="1"/>
  <c r="N171" i="4"/>
  <c r="O171" i="4" s="1"/>
  <c r="N40" i="4"/>
  <c r="O40" i="4" s="1"/>
  <c r="N77" i="4"/>
  <c r="N101" i="4"/>
  <c r="N149" i="4"/>
  <c r="O149" i="4" s="1"/>
  <c r="N70" i="4"/>
  <c r="O70" i="4" s="1"/>
  <c r="N22" i="4"/>
  <c r="O22" i="4" s="1"/>
  <c r="N36" i="4"/>
  <c r="N52" i="4"/>
  <c r="O52" i="4" s="1"/>
  <c r="N64" i="4"/>
  <c r="O64" i="4" s="1"/>
  <c r="N73" i="4"/>
  <c r="O73" i="4" s="1"/>
  <c r="N82" i="4"/>
  <c r="O82" i="4" s="1"/>
  <c r="N90" i="4"/>
  <c r="N95" i="4"/>
  <c r="O95" i="4" s="1"/>
  <c r="N104" i="4"/>
  <c r="O104" i="4" s="1"/>
  <c r="N113" i="4"/>
  <c r="O113" i="4" s="1"/>
  <c r="N120" i="4"/>
  <c r="O120" i="4" s="1"/>
  <c r="N129" i="4"/>
  <c r="O129" i="4" s="1"/>
  <c r="N136" i="4"/>
  <c r="O136" i="4" s="1"/>
  <c r="N146" i="4"/>
  <c r="O146" i="4" s="1"/>
  <c r="N155" i="4"/>
  <c r="O155" i="4" s="1"/>
  <c r="N158" i="4"/>
  <c r="O158" i="4" s="1"/>
  <c r="N166" i="4"/>
  <c r="O166" i="4" s="1"/>
  <c r="N172" i="4"/>
  <c r="O172" i="4" s="1"/>
  <c r="N47" i="4"/>
  <c r="O47" i="4" s="1"/>
  <c r="N102" i="4"/>
  <c r="O102" i="4" s="1"/>
  <c r="N125" i="4"/>
  <c r="O125" i="4" s="1"/>
  <c r="N163" i="4"/>
  <c r="O163" i="4" s="1"/>
  <c r="N15" i="4"/>
  <c r="O15" i="4" s="1"/>
  <c r="N42" i="4"/>
  <c r="O42" i="4" s="1"/>
  <c r="N74" i="4"/>
  <c r="O74" i="4" s="1"/>
  <c r="N91" i="4"/>
  <c r="O91" i="4" s="1"/>
  <c r="N105" i="4"/>
  <c r="O105" i="4" s="1"/>
  <c r="N114" i="4"/>
  <c r="O114" i="4" s="1"/>
  <c r="N130" i="4"/>
  <c r="O130" i="4" s="1"/>
  <c r="N137" i="4"/>
  <c r="O137" i="4" s="1"/>
  <c r="N152" i="4"/>
  <c r="O152" i="4" s="1"/>
  <c r="N159" i="4"/>
  <c r="O159" i="4" s="1"/>
  <c r="N167" i="4"/>
  <c r="O167" i="4" s="1"/>
  <c r="N173" i="4"/>
  <c r="O173" i="4" s="1"/>
  <c r="N28" i="4"/>
  <c r="O28" i="4" s="1"/>
  <c r="N69" i="4"/>
  <c r="O69" i="4" s="1"/>
  <c r="N117" i="4"/>
  <c r="N162" i="4"/>
  <c r="O162" i="4" s="1"/>
  <c r="N18" i="4"/>
  <c r="O18" i="4" s="1"/>
  <c r="N150" i="4"/>
  <c r="O150" i="4" s="1"/>
  <c r="N14" i="4"/>
  <c r="O14" i="4" s="1"/>
  <c r="N31" i="4"/>
  <c r="O31" i="4" s="1"/>
  <c r="N23" i="4"/>
  <c r="O23" i="4" s="1"/>
  <c r="N37" i="4"/>
  <c r="N56" i="4"/>
  <c r="O56" i="4" s="1"/>
  <c r="N83" i="4"/>
  <c r="O83" i="4" s="1"/>
  <c r="N8" i="4"/>
  <c r="O8" i="4" s="1"/>
  <c r="N24" i="4"/>
  <c r="O24" i="4" s="1"/>
  <c r="N32" i="4"/>
  <c r="N38" i="4"/>
  <c r="O38" i="4" s="1"/>
  <c r="N43" i="4"/>
  <c r="N67" i="4"/>
  <c r="N75" i="4"/>
  <c r="O75" i="4" s="1"/>
  <c r="N98" i="4"/>
  <c r="O98" i="4" s="1"/>
  <c r="N106" i="4"/>
  <c r="O106" i="4" s="1"/>
  <c r="N115" i="4"/>
  <c r="N131" i="4"/>
  <c r="N138" i="4"/>
  <c r="N147" i="4"/>
  <c r="O147" i="4" s="1"/>
  <c r="N153" i="4"/>
  <c r="O153" i="4" s="1"/>
  <c r="N160" i="4"/>
  <c r="O160" i="4" s="1"/>
  <c r="N174" i="4"/>
  <c r="O174" i="4" s="1"/>
  <c r="N9" i="4"/>
  <c r="O9" i="4" s="1"/>
  <c r="N46" i="4"/>
  <c r="O46" i="4" s="1"/>
  <c r="N85" i="4"/>
  <c r="O85" i="4" s="1"/>
  <c r="N124" i="4"/>
  <c r="O124" i="4" s="1"/>
  <c r="N142" i="4"/>
  <c r="O142" i="4" s="1"/>
  <c r="N3" i="4"/>
  <c r="O3" i="4" s="1"/>
  <c r="N6" i="4"/>
  <c r="O6" i="4" s="1"/>
  <c r="N7" i="4"/>
  <c r="O7" i="4" s="1"/>
  <c r="N65" i="4"/>
  <c r="O65" i="4" s="1"/>
  <c r="N96" i="4"/>
  <c r="O96" i="4" s="1"/>
  <c r="N10" i="4"/>
  <c r="O10" i="4" s="1"/>
  <c r="N16" i="4"/>
  <c r="O16" i="4" s="1"/>
  <c r="N27" i="4"/>
  <c r="N33" i="4"/>
  <c r="N39" i="4"/>
  <c r="N58" i="4"/>
  <c r="O58" i="4" s="1"/>
  <c r="N68" i="4"/>
  <c r="O68" i="4" s="1"/>
  <c r="N76" i="4"/>
  <c r="O76" i="4" s="1"/>
  <c r="N84" i="4"/>
  <c r="O84" i="4" s="1"/>
  <c r="N92" i="4"/>
  <c r="O92" i="4" s="1"/>
  <c r="N100" i="4"/>
  <c r="O100" i="4" s="1"/>
  <c r="N107" i="4"/>
  <c r="O107" i="4" s="1"/>
  <c r="N116" i="4"/>
  <c r="O116" i="4" s="1"/>
  <c r="N122" i="4"/>
  <c r="N132" i="4"/>
  <c r="O132" i="4" s="1"/>
  <c r="N139" i="4"/>
  <c r="O139" i="4" s="1"/>
  <c r="N148" i="4"/>
  <c r="O148" i="4" s="1"/>
  <c r="N154" i="4"/>
  <c r="O154" i="4" s="1"/>
  <c r="N156" i="4"/>
  <c r="O156" i="4" s="1"/>
  <c r="N161" i="4"/>
  <c r="O161" i="4" s="1"/>
  <c r="N168" i="4"/>
  <c r="T104" i="4" l="1"/>
  <c r="U104" i="4" s="1"/>
  <c r="P104" i="4"/>
  <c r="P157" i="4"/>
  <c r="T157" i="4"/>
  <c r="U157" i="4" s="1"/>
  <c r="P111" i="4"/>
  <c r="T111" i="4"/>
  <c r="U111" i="4" s="1"/>
  <c r="T71" i="4"/>
  <c r="U71" i="4" s="1"/>
  <c r="P71" i="4"/>
  <c r="P30" i="4"/>
  <c r="T30" i="4"/>
  <c r="U30" i="4" s="1"/>
  <c r="P79" i="4"/>
  <c r="T79" i="4"/>
  <c r="U79" i="4" s="1"/>
  <c r="T41" i="4"/>
  <c r="U41" i="4" s="1"/>
  <c r="P41" i="4"/>
  <c r="P161" i="4"/>
  <c r="T161" i="4"/>
  <c r="U161" i="4" s="1"/>
  <c r="P139" i="4"/>
  <c r="T139" i="4"/>
  <c r="U139" i="4" s="1"/>
  <c r="P107" i="4"/>
  <c r="T107" i="4"/>
  <c r="U107" i="4" s="1"/>
  <c r="P76" i="4"/>
  <c r="T76" i="4"/>
  <c r="U76" i="4" s="1"/>
  <c r="P96" i="4"/>
  <c r="T96" i="4"/>
  <c r="U96" i="4" s="1"/>
  <c r="P3" i="4"/>
  <c r="T3" i="4"/>
  <c r="U3" i="4" s="1"/>
  <c r="P153" i="4"/>
  <c r="T153" i="4"/>
  <c r="U153" i="4" s="1"/>
  <c r="P150" i="4"/>
  <c r="T150" i="4"/>
  <c r="U150" i="4" s="1"/>
  <c r="P69" i="4"/>
  <c r="T69" i="4"/>
  <c r="U69" i="4" s="1"/>
  <c r="P159" i="4"/>
  <c r="T159" i="4"/>
  <c r="U159" i="4" s="1"/>
  <c r="T114" i="4"/>
  <c r="U114" i="4" s="1"/>
  <c r="P114" i="4"/>
  <c r="T42" i="4"/>
  <c r="U42" i="4" s="1"/>
  <c r="P42" i="4"/>
  <c r="P102" i="4"/>
  <c r="T102" i="4"/>
  <c r="U102" i="4" s="1"/>
  <c r="P158" i="4"/>
  <c r="T158" i="4"/>
  <c r="U158" i="4" s="1"/>
  <c r="P129" i="4"/>
  <c r="T129" i="4"/>
  <c r="U129" i="4" s="1"/>
  <c r="P95" i="4"/>
  <c r="T95" i="4"/>
  <c r="U95" i="4" s="1"/>
  <c r="P70" i="4"/>
  <c r="T70" i="4"/>
  <c r="U70" i="4" s="1"/>
  <c r="T40" i="4"/>
  <c r="U40" i="4" s="1"/>
  <c r="P40" i="4"/>
  <c r="P128" i="4"/>
  <c r="T128" i="4"/>
  <c r="U128" i="4" s="1"/>
  <c r="P81" i="4"/>
  <c r="T81" i="4"/>
  <c r="U81" i="4" s="1"/>
  <c r="P140" i="4"/>
  <c r="T140" i="4"/>
  <c r="U140" i="4" s="1"/>
  <c r="P170" i="4"/>
  <c r="T170" i="4"/>
  <c r="U170" i="4" s="1"/>
  <c r="P133" i="4"/>
  <c r="T133" i="4"/>
  <c r="U133" i="4" s="1"/>
  <c r="P103" i="4"/>
  <c r="T103" i="4"/>
  <c r="U103" i="4" s="1"/>
  <c r="P12" i="4"/>
  <c r="T12" i="4"/>
  <c r="U12" i="4" s="1"/>
  <c r="P84" i="4"/>
  <c r="T84" i="4"/>
  <c r="U84" i="4" s="1"/>
  <c r="P6" i="4"/>
  <c r="T6" i="4"/>
  <c r="U6" i="4" s="1"/>
  <c r="T160" i="4"/>
  <c r="U160" i="4" s="1"/>
  <c r="P160" i="4"/>
  <c r="P75" i="4"/>
  <c r="T75" i="4"/>
  <c r="U75" i="4" s="1"/>
  <c r="P14" i="4"/>
  <c r="T14" i="4"/>
  <c r="U14" i="4" s="1"/>
  <c r="P167" i="4"/>
  <c r="T167" i="4"/>
  <c r="U167" i="4" s="1"/>
  <c r="P130" i="4"/>
  <c r="T130" i="4"/>
  <c r="U130" i="4" s="1"/>
  <c r="P74" i="4"/>
  <c r="T74" i="4"/>
  <c r="U74" i="4" s="1"/>
  <c r="P166" i="4"/>
  <c r="T166" i="4"/>
  <c r="U166" i="4" s="1"/>
  <c r="P73" i="4"/>
  <c r="T73" i="4"/>
  <c r="U73" i="4" s="1"/>
  <c r="P89" i="4"/>
  <c r="T89" i="4"/>
  <c r="U89" i="4" s="1"/>
  <c r="P100" i="4"/>
  <c r="T100" i="4"/>
  <c r="U100" i="4" s="1"/>
  <c r="P148" i="4"/>
  <c r="T148" i="4"/>
  <c r="U148" i="4" s="1"/>
  <c r="P116" i="4"/>
  <c r="T116" i="4"/>
  <c r="U116" i="4" s="1"/>
  <c r="P10" i="4"/>
  <c r="T10" i="4"/>
  <c r="U10" i="4" s="1"/>
  <c r="P85" i="4"/>
  <c r="T85" i="4"/>
  <c r="U85" i="4" s="1"/>
  <c r="P136" i="4"/>
  <c r="T136" i="4"/>
  <c r="U136" i="4" s="1"/>
  <c r="P135" i="4"/>
  <c r="T135" i="4"/>
  <c r="U135" i="4" s="1"/>
  <c r="P156" i="4"/>
  <c r="T156" i="4"/>
  <c r="U156" i="4" s="1"/>
  <c r="P132" i="4"/>
  <c r="T132" i="4"/>
  <c r="U132" i="4" s="1"/>
  <c r="P68" i="4"/>
  <c r="T68" i="4"/>
  <c r="U68" i="4" s="1"/>
  <c r="P9" i="4"/>
  <c r="T9" i="4"/>
  <c r="U9" i="4" s="1"/>
  <c r="P147" i="4"/>
  <c r="T147" i="4"/>
  <c r="U147" i="4" s="1"/>
  <c r="P106" i="4"/>
  <c r="T106" i="4"/>
  <c r="U106" i="4" s="1"/>
  <c r="P8" i="4"/>
  <c r="T8" i="4"/>
  <c r="U8" i="4" s="1"/>
  <c r="P18" i="4"/>
  <c r="T18" i="4"/>
  <c r="U18" i="4" s="1"/>
  <c r="P28" i="4"/>
  <c r="T28" i="4"/>
  <c r="U28" i="4" s="1"/>
  <c r="P152" i="4"/>
  <c r="T152" i="4"/>
  <c r="U152" i="4" s="1"/>
  <c r="P105" i="4"/>
  <c r="T105" i="4"/>
  <c r="U105" i="4" s="1"/>
  <c r="P15" i="4"/>
  <c r="T15" i="4"/>
  <c r="U15" i="4" s="1"/>
  <c r="P155" i="4"/>
  <c r="T155" i="4"/>
  <c r="U155" i="4" s="1"/>
  <c r="T120" i="4"/>
  <c r="U120" i="4" s="1"/>
  <c r="P120" i="4"/>
  <c r="P149" i="4"/>
  <c r="T149" i="4"/>
  <c r="U149" i="4" s="1"/>
  <c r="P171" i="4"/>
  <c r="T171" i="4"/>
  <c r="U171" i="4" s="1"/>
  <c r="P112" i="4"/>
  <c r="T112" i="4"/>
  <c r="U112" i="4" s="1"/>
  <c r="P72" i="4"/>
  <c r="T72" i="4"/>
  <c r="U72" i="4" s="1"/>
  <c r="P86" i="4"/>
  <c r="T86" i="4"/>
  <c r="U86" i="4" s="1"/>
  <c r="P93" i="4"/>
  <c r="T93" i="4"/>
  <c r="U93" i="4" s="1"/>
  <c r="P164" i="4"/>
  <c r="T164" i="4"/>
  <c r="U164" i="4" s="1"/>
  <c r="P118" i="4"/>
  <c r="T118" i="4"/>
  <c r="U118" i="4" s="1"/>
  <c r="T11" i="4"/>
  <c r="U11" i="4" s="1"/>
  <c r="P11" i="4"/>
  <c r="T44" i="4"/>
  <c r="U44" i="4" s="1"/>
  <c r="P44" i="4"/>
  <c r="P154" i="4"/>
  <c r="T154" i="4"/>
  <c r="U154" i="4" s="1"/>
  <c r="P92" i="4"/>
  <c r="T92" i="4"/>
  <c r="U92" i="4" s="1"/>
  <c r="P16" i="4"/>
  <c r="T16" i="4"/>
  <c r="U16" i="4" s="1"/>
  <c r="P7" i="4"/>
  <c r="T7" i="4"/>
  <c r="U7" i="4" s="1"/>
  <c r="P174" i="4"/>
  <c r="T174" i="4"/>
  <c r="U174" i="4" s="1"/>
  <c r="T38" i="4"/>
  <c r="U38" i="4" s="1"/>
  <c r="P38" i="4"/>
  <c r="P83" i="4"/>
  <c r="T83" i="4"/>
  <c r="U83" i="4" s="1"/>
  <c r="P31" i="4"/>
  <c r="T31" i="4"/>
  <c r="U31" i="4" s="1"/>
  <c r="P162" i="4"/>
  <c r="T162" i="4"/>
  <c r="U162" i="4" s="1"/>
  <c r="P173" i="4"/>
  <c r="T173" i="4"/>
  <c r="U173" i="4" s="1"/>
  <c r="P137" i="4"/>
  <c r="T137" i="4"/>
  <c r="U137" i="4" s="1"/>
  <c r="P91" i="4"/>
  <c r="T91" i="4"/>
  <c r="U91" i="4" s="1"/>
  <c r="P163" i="4"/>
  <c r="T163" i="4"/>
  <c r="U163" i="4" s="1"/>
  <c r="P172" i="4"/>
  <c r="T172" i="4"/>
  <c r="U172" i="4" s="1"/>
  <c r="P146" i="4"/>
  <c r="T146" i="4"/>
  <c r="U146" i="4" s="1"/>
  <c r="P113" i="4"/>
  <c r="T113" i="4"/>
  <c r="U113" i="4" s="1"/>
  <c r="P82" i="4"/>
  <c r="T82" i="4"/>
  <c r="U82" i="4" s="1"/>
  <c r="P94" i="4"/>
  <c r="T94" i="4"/>
  <c r="U94" i="4" s="1"/>
  <c r="P13" i="4"/>
  <c r="T13" i="4"/>
  <c r="U13" i="4" s="1"/>
  <c r="P29" i="4"/>
  <c r="T29" i="4"/>
  <c r="U29" i="4" s="1"/>
  <c r="P151" i="4"/>
  <c r="T151" i="4"/>
  <c r="U151" i="4" s="1"/>
  <c r="P119" i="4"/>
  <c r="T119" i="4"/>
  <c r="U119" i="4" s="1"/>
  <c r="P80" i="4"/>
  <c r="T80" i="4"/>
  <c r="U80" i="4" s="1"/>
  <c r="P34" i="4"/>
  <c r="T34" i="4"/>
  <c r="U34" i="4" s="1"/>
  <c r="T110" i="4"/>
  <c r="U110" i="4" s="1"/>
  <c r="P110" i="4"/>
  <c r="P109" i="4"/>
  <c r="T109" i="4"/>
  <c r="U109" i="4" s="1"/>
  <c r="P165" i="4"/>
  <c r="P17" i="4"/>
  <c r="T17" i="4"/>
  <c r="U17" i="4" s="1"/>
  <c r="T142" i="4"/>
  <c r="U142" i="4" s="1"/>
  <c r="P142" i="4"/>
  <c r="T24" i="4"/>
  <c r="U24" i="4" s="1"/>
  <c r="P24" i="4"/>
  <c r="T64" i="4"/>
  <c r="U64" i="4" s="1"/>
  <c r="P64" i="4"/>
  <c r="T62" i="4"/>
  <c r="U62" i="4" s="1"/>
  <c r="P62" i="4"/>
  <c r="T60" i="4"/>
  <c r="U60" i="4" s="1"/>
  <c r="P60" i="4"/>
  <c r="T65" i="4"/>
  <c r="U65" i="4" s="1"/>
  <c r="P65" i="4"/>
  <c r="T47" i="4"/>
  <c r="U47" i="4" s="1"/>
  <c r="P47" i="4"/>
  <c r="T21" i="4"/>
  <c r="P21" i="4"/>
  <c r="T48" i="4"/>
  <c r="U48" i="4" s="1"/>
  <c r="P48" i="4"/>
  <c r="T58" i="4"/>
  <c r="U58" i="4" s="1"/>
  <c r="P58" i="4"/>
  <c r="T124" i="4"/>
  <c r="U124" i="4" s="1"/>
  <c r="P124" i="4"/>
  <c r="T98" i="4"/>
  <c r="U98" i="4" s="1"/>
  <c r="P98" i="4"/>
  <c r="T144" i="4"/>
  <c r="U144" i="4" s="1"/>
  <c r="P144" i="4"/>
  <c r="T63" i="4"/>
  <c r="U63" i="4" s="1"/>
  <c r="P63" i="4"/>
  <c r="T59" i="4"/>
  <c r="U59" i="4" s="1"/>
  <c r="P59" i="4"/>
  <c r="T46" i="4"/>
  <c r="U46" i="4" s="1"/>
  <c r="P46" i="4"/>
  <c r="T20" i="4"/>
  <c r="U20" i="4" s="1"/>
  <c r="P20" i="4"/>
  <c r="T23" i="4"/>
  <c r="P23" i="4"/>
  <c r="T52" i="4"/>
  <c r="U52" i="4" s="1"/>
  <c r="P52" i="4"/>
  <c r="T126" i="4"/>
  <c r="U126" i="4" s="1"/>
  <c r="P126" i="4"/>
  <c r="T56" i="4"/>
  <c r="U56" i="4" s="1"/>
  <c r="P56" i="4"/>
  <c r="T125" i="4"/>
  <c r="P125" i="4"/>
  <c r="T22" i="4"/>
  <c r="U22" i="4" s="1"/>
  <c r="P22" i="4"/>
  <c r="R130" i="7"/>
  <c r="S130" i="7" s="1"/>
  <c r="O115" i="4"/>
  <c r="R63" i="7"/>
  <c r="S63" i="7" s="1"/>
  <c r="O37" i="4"/>
  <c r="R61" i="7"/>
  <c r="S61" i="7" s="1"/>
  <c r="O35" i="4"/>
  <c r="R69" i="7"/>
  <c r="S69" i="7" s="1"/>
  <c r="O43" i="4"/>
  <c r="R107" i="7"/>
  <c r="S107" i="7" s="1"/>
  <c r="O90" i="4"/>
  <c r="R105" i="7"/>
  <c r="S105" i="7" s="1"/>
  <c r="O87" i="4"/>
  <c r="R59" i="7"/>
  <c r="S59" i="7" s="1"/>
  <c r="O33" i="4"/>
  <c r="R136" i="7"/>
  <c r="S136" i="7" s="1"/>
  <c r="O122" i="4"/>
  <c r="R149" i="7"/>
  <c r="S149" i="7" s="1"/>
  <c r="O138" i="4"/>
  <c r="R62" i="7"/>
  <c r="S62" i="7" s="1"/>
  <c r="O36" i="4"/>
  <c r="R116" i="7"/>
  <c r="S116" i="7" s="1"/>
  <c r="O101" i="4"/>
  <c r="R86" i="7"/>
  <c r="S86" i="7" s="1"/>
  <c r="O67" i="4"/>
  <c r="R53" i="7"/>
  <c r="S53" i="7" s="1"/>
  <c r="O27" i="4"/>
  <c r="R177" i="7"/>
  <c r="S177" i="7" s="1"/>
  <c r="O168" i="4"/>
  <c r="R65" i="7"/>
  <c r="S65" i="7" s="1"/>
  <c r="O39" i="4"/>
  <c r="R127" i="7"/>
  <c r="S127" i="7" s="1"/>
  <c r="O131" i="4"/>
  <c r="R58" i="7"/>
  <c r="S58" i="7" s="1"/>
  <c r="O32" i="4"/>
  <c r="R132" i="7"/>
  <c r="S132" i="7" s="1"/>
  <c r="O117" i="4"/>
  <c r="R96" i="7"/>
  <c r="S96" i="7" s="1"/>
  <c r="O77" i="4"/>
  <c r="R74" i="7"/>
  <c r="S74" i="7" s="1"/>
  <c r="O49" i="4"/>
  <c r="R34" i="7"/>
  <c r="S34" i="7" s="1"/>
  <c r="O5" i="4"/>
  <c r="R153" i="7"/>
  <c r="S153" i="7" s="1"/>
  <c r="O143" i="4"/>
  <c r="R10" i="7"/>
  <c r="S10" i="7" s="1"/>
  <c r="O2" i="4"/>
  <c r="R173" i="7"/>
  <c r="S173" i="7" s="1"/>
  <c r="R162" i="7"/>
  <c r="S162" i="7" s="1"/>
  <c r="R24" i="7"/>
  <c r="S24" i="7" s="1"/>
  <c r="R147" i="7"/>
  <c r="S147" i="7" s="1"/>
  <c r="R84" i="7"/>
  <c r="S84" i="7" s="1"/>
  <c r="R104" i="7"/>
  <c r="S104" i="7" s="1"/>
  <c r="R54" i="7"/>
  <c r="S54" i="7" s="1"/>
  <c r="R123" i="7"/>
  <c r="S123" i="7" s="1"/>
  <c r="R32" i="7"/>
  <c r="S32" i="7" s="1"/>
  <c r="R158" i="7"/>
  <c r="S158" i="7" s="1"/>
  <c r="R167" i="7"/>
  <c r="S167" i="7" s="1"/>
  <c r="R50" i="7"/>
  <c r="S50" i="7" s="1"/>
  <c r="R166" i="7"/>
  <c r="S166" i="7" s="1"/>
  <c r="R103" i="7"/>
  <c r="S103" i="7" s="1"/>
  <c r="R78" i="7"/>
  <c r="S78" i="7" s="1"/>
  <c r="R137" i="7"/>
  <c r="S137" i="7" s="1"/>
  <c r="R43" i="7"/>
  <c r="S43" i="7" s="1"/>
  <c r="R148" i="7"/>
  <c r="S148" i="7" s="1"/>
  <c r="T178" i="7"/>
  <c r="R178" i="7"/>
  <c r="S178" i="7" s="1"/>
  <c r="R111" i="7"/>
  <c r="S111" i="7" s="1"/>
  <c r="R70" i="7"/>
  <c r="S70" i="7" s="1"/>
  <c r="R20" i="7"/>
  <c r="S20" i="7" s="1"/>
  <c r="R68" i="7"/>
  <c r="S68" i="7" s="1"/>
  <c r="R131" i="7"/>
  <c r="S131" i="7" s="1"/>
  <c r="R169" i="7"/>
  <c r="S169" i="7" s="1"/>
  <c r="R115" i="7"/>
  <c r="S115" i="7" s="1"/>
  <c r="R41" i="7"/>
  <c r="S41" i="7" s="1"/>
  <c r="R11" i="7"/>
  <c r="S11" i="7" s="1"/>
  <c r="R161" i="7"/>
  <c r="S161" i="7" s="1"/>
  <c r="R75" i="7"/>
  <c r="S75" i="7" s="1"/>
  <c r="R45" i="7"/>
  <c r="S45" i="7" s="1"/>
  <c r="R77" i="7"/>
  <c r="S77" i="7" s="1"/>
  <c r="R122" i="7"/>
  <c r="S122" i="7" s="1"/>
  <c r="R110" i="7"/>
  <c r="S110" i="7" s="1"/>
  <c r="R138" i="7"/>
  <c r="S138" i="7" s="1"/>
  <c r="R72" i="7"/>
  <c r="S72" i="7" s="1"/>
  <c r="R48" i="7"/>
  <c r="S48" i="7" s="1"/>
  <c r="R89" i="7"/>
  <c r="S89" i="7" s="1"/>
  <c r="R28" i="7"/>
  <c r="S28" i="7" s="1"/>
  <c r="R142" i="7"/>
  <c r="S142" i="7" s="1"/>
  <c r="R164" i="7"/>
  <c r="S164" i="7" s="1"/>
  <c r="R141" i="7"/>
  <c r="S141" i="7" s="1"/>
  <c r="R108" i="7"/>
  <c r="S108" i="7" s="1"/>
  <c r="R76" i="7"/>
  <c r="S76" i="7" s="1"/>
  <c r="R35" i="7"/>
  <c r="S35" i="7" s="1"/>
  <c r="R73" i="7"/>
  <c r="S73" i="7" s="1"/>
  <c r="R150" i="7"/>
  <c r="S150" i="7" s="1"/>
  <c r="R17" i="7"/>
  <c r="S17" i="7" s="1"/>
  <c r="R155" i="7"/>
  <c r="S155" i="7" s="1"/>
  <c r="R114" i="7"/>
  <c r="S114" i="7" s="1"/>
  <c r="R51" i="7"/>
  <c r="S51" i="7" s="1"/>
  <c r="R16" i="7"/>
  <c r="S16" i="7" s="1"/>
  <c r="R31" i="7"/>
  <c r="S31" i="7" s="1"/>
  <c r="R26" i="7"/>
  <c r="S26" i="7" s="1"/>
  <c r="R36" i="7"/>
  <c r="S36" i="7" s="1"/>
  <c r="R160" i="7"/>
  <c r="S160" i="7" s="1"/>
  <c r="R113" i="7"/>
  <c r="S113" i="7" s="1"/>
  <c r="R23" i="7"/>
  <c r="S23" i="7" s="1"/>
  <c r="R55" i="7"/>
  <c r="S55" i="7" s="1"/>
  <c r="R163" i="7"/>
  <c r="S163" i="7" s="1"/>
  <c r="R129" i="7"/>
  <c r="S129" i="7" s="1"/>
  <c r="R98" i="7"/>
  <c r="S98" i="7" s="1"/>
  <c r="R60" i="7"/>
  <c r="S60" i="7" s="1"/>
  <c r="R157" i="7"/>
  <c r="S157" i="7" s="1"/>
  <c r="R179" i="7"/>
  <c r="S179" i="7" s="1"/>
  <c r="R120" i="7"/>
  <c r="S120" i="7" s="1"/>
  <c r="R80" i="7"/>
  <c r="S80" i="7" s="1"/>
  <c r="R29" i="7"/>
  <c r="S29" i="7" s="1"/>
  <c r="R94" i="7"/>
  <c r="S94" i="7" s="1"/>
  <c r="R101" i="7"/>
  <c r="S101" i="7" s="1"/>
  <c r="R172" i="7"/>
  <c r="S172" i="7" s="1"/>
  <c r="R135" i="7"/>
  <c r="S135" i="7" s="1"/>
  <c r="R95" i="7"/>
  <c r="S95" i="7" s="1"/>
  <c r="R56" i="7"/>
  <c r="S56" i="7" s="1"/>
  <c r="R126" i="7"/>
  <c r="S126" i="7" s="1"/>
  <c r="R19" i="7"/>
  <c r="S19" i="7" s="1"/>
  <c r="R52" i="7"/>
  <c r="S52" i="7" s="1"/>
  <c r="R66" i="7"/>
  <c r="S66" i="7" s="1"/>
  <c r="R133" i="7"/>
  <c r="S133" i="7" s="1"/>
  <c r="R146" i="7"/>
  <c r="S146" i="7" s="1"/>
  <c r="R46" i="7"/>
  <c r="S46" i="7" s="1"/>
  <c r="R39" i="7"/>
  <c r="S39" i="7" s="1"/>
  <c r="R181" i="7"/>
  <c r="S181" i="7" s="1"/>
  <c r="R99" i="7"/>
  <c r="S99" i="7" s="1"/>
  <c r="R180" i="7"/>
  <c r="S180" i="7" s="1"/>
  <c r="R121" i="7"/>
  <c r="S121" i="7" s="1"/>
  <c r="R44" i="7"/>
  <c r="S44" i="7" s="1"/>
  <c r="R152" i="7"/>
  <c r="S152" i="7" s="1"/>
  <c r="R71" i="7"/>
  <c r="S71" i="7" s="1"/>
  <c r="T37" i="7"/>
  <c r="R37" i="7"/>
  <c r="S37" i="7" s="1"/>
  <c r="R67" i="7"/>
  <c r="S67" i="7" s="1"/>
  <c r="R128" i="7"/>
  <c r="S128" i="7" s="1"/>
  <c r="R42" i="7"/>
  <c r="S42" i="7" s="1"/>
  <c r="R117" i="7"/>
  <c r="S117" i="7" s="1"/>
  <c r="R100" i="7"/>
  <c r="S100" i="7" s="1"/>
  <c r="R15" i="7"/>
  <c r="S15" i="7" s="1"/>
  <c r="R182" i="7"/>
  <c r="S182" i="7" s="1"/>
  <c r="R106" i="7"/>
  <c r="S106" i="7" s="1"/>
  <c r="R91" i="7"/>
  <c r="S91" i="7" s="1"/>
  <c r="R170" i="7"/>
  <c r="S170" i="7" s="1"/>
  <c r="R145" i="7"/>
  <c r="S145" i="7" s="1"/>
  <c r="R171" i="7"/>
  <c r="S171" i="7" s="1"/>
  <c r="T154" i="7"/>
  <c r="R154" i="7"/>
  <c r="S154" i="7" s="1"/>
  <c r="R90" i="7"/>
  <c r="S90" i="7" s="1"/>
  <c r="R109" i="7"/>
  <c r="S109" i="7" s="1"/>
  <c r="R102" i="7"/>
  <c r="S102" i="7" s="1"/>
  <c r="R21" i="7"/>
  <c r="S21" i="7" s="1"/>
  <c r="R159" i="7"/>
  <c r="S159" i="7" s="1"/>
  <c r="R88" i="7"/>
  <c r="S88" i="7" s="1"/>
  <c r="R118" i="7"/>
  <c r="S118" i="7" s="1"/>
  <c r="R176" i="7"/>
  <c r="S176" i="7" s="1"/>
  <c r="R156" i="7"/>
  <c r="S156" i="7" s="1"/>
  <c r="R124" i="7"/>
  <c r="S124" i="7" s="1"/>
  <c r="R92" i="7"/>
  <c r="S92" i="7" s="1"/>
  <c r="R47" i="7"/>
  <c r="S47" i="7" s="1"/>
  <c r="T18" i="7"/>
  <c r="R18" i="7"/>
  <c r="S18" i="7" s="1"/>
  <c r="R14" i="7"/>
  <c r="S14" i="7" s="1"/>
  <c r="R93" i="7"/>
  <c r="S93" i="7" s="1"/>
  <c r="R168" i="7"/>
  <c r="S168" i="7" s="1"/>
  <c r="R140" i="7"/>
  <c r="S140" i="7" s="1"/>
  <c r="R83" i="7"/>
  <c r="S83" i="7" s="1"/>
  <c r="R40" i="7"/>
  <c r="S40" i="7" s="1"/>
  <c r="R64" i="7"/>
  <c r="S64" i="7" s="1"/>
  <c r="R22" i="7"/>
  <c r="S22" i="7" s="1"/>
  <c r="R125" i="7"/>
  <c r="S125" i="7" s="1"/>
  <c r="R175" i="7"/>
  <c r="S175" i="7" s="1"/>
  <c r="R139" i="7"/>
  <c r="S139" i="7" s="1"/>
  <c r="R82" i="7"/>
  <c r="S82" i="7" s="1"/>
  <c r="R134" i="7"/>
  <c r="S134" i="7" s="1"/>
  <c r="R174" i="7"/>
  <c r="S174" i="7" s="1"/>
  <c r="R144" i="7"/>
  <c r="S144" i="7" s="1"/>
  <c r="R112" i="7"/>
  <c r="S112" i="7" s="1"/>
  <c r="R81" i="7"/>
  <c r="S81" i="7" s="1"/>
  <c r="R30" i="7"/>
  <c r="S30" i="7" s="1"/>
  <c r="R85" i="7"/>
  <c r="S85" i="7" s="1"/>
  <c r="R143" i="7"/>
  <c r="S143" i="7" s="1"/>
  <c r="R97" i="7"/>
  <c r="S97" i="7" s="1"/>
  <c r="R57" i="7"/>
  <c r="S57" i="7" s="1"/>
  <c r="R13" i="7"/>
  <c r="S13" i="7" s="1"/>
  <c r="R165" i="7"/>
  <c r="S165" i="7" s="1"/>
  <c r="R25" i="7"/>
  <c r="S25" i="7" s="1"/>
  <c r="R151" i="7"/>
  <c r="S151" i="7" s="1"/>
  <c r="R119" i="7"/>
  <c r="S119" i="7" s="1"/>
  <c r="R79" i="7"/>
  <c r="S79" i="7" s="1"/>
  <c r="R38" i="7"/>
  <c r="S38" i="7" s="1"/>
  <c r="R87" i="7"/>
  <c r="S87" i="7" s="1"/>
  <c r="R49" i="7"/>
  <c r="S49" i="7" s="1"/>
  <c r="W47" i="4"/>
  <c r="F3" i="4"/>
  <c r="E3" i="4" s="1"/>
  <c r="F4" i="4"/>
  <c r="E4" i="4" s="1"/>
  <c r="F5" i="4"/>
  <c r="E5" i="4" s="1"/>
  <c r="F6" i="4"/>
  <c r="E6" i="4" s="1"/>
  <c r="F7" i="4"/>
  <c r="E7" i="4" s="1"/>
  <c r="F8" i="4"/>
  <c r="E8" i="4" s="1"/>
  <c r="F9" i="4"/>
  <c r="E9" i="4" s="1"/>
  <c r="F10" i="4"/>
  <c r="E10" i="4" s="1"/>
  <c r="F11" i="4"/>
  <c r="E11" i="4" s="1"/>
  <c r="F12" i="4"/>
  <c r="E12" i="4" s="1"/>
  <c r="F13" i="4"/>
  <c r="E13" i="4" s="1"/>
  <c r="F14" i="4"/>
  <c r="E14" i="4" s="1"/>
  <c r="F15" i="4"/>
  <c r="E15" i="4" s="1"/>
  <c r="F16" i="4"/>
  <c r="E16" i="4" s="1"/>
  <c r="F17" i="4"/>
  <c r="E17" i="4" s="1"/>
  <c r="F18" i="4"/>
  <c r="E18" i="4" s="1"/>
  <c r="F19" i="4"/>
  <c r="E19" i="4" s="1"/>
  <c r="F20" i="4"/>
  <c r="E20" i="4" s="1"/>
  <c r="F21" i="4"/>
  <c r="E21" i="4" s="1"/>
  <c r="F22" i="4"/>
  <c r="E22" i="4" s="1"/>
  <c r="F23" i="4"/>
  <c r="E23" i="4" s="1"/>
  <c r="F24" i="4"/>
  <c r="E24" i="4" s="1"/>
  <c r="F25" i="4"/>
  <c r="E25" i="4" s="1"/>
  <c r="F26" i="4"/>
  <c r="E26" i="4" s="1"/>
  <c r="F27" i="4"/>
  <c r="E27" i="4" s="1"/>
  <c r="F28" i="4"/>
  <c r="E28" i="4" s="1"/>
  <c r="F29" i="4"/>
  <c r="E29" i="4" s="1"/>
  <c r="F30" i="4"/>
  <c r="E30" i="4" s="1"/>
  <c r="F31" i="4"/>
  <c r="E31" i="4" s="1"/>
  <c r="F32" i="4"/>
  <c r="E32" i="4" s="1"/>
  <c r="F33" i="4"/>
  <c r="E33" i="4" s="1"/>
  <c r="F34" i="4"/>
  <c r="E34" i="4" s="1"/>
  <c r="F35" i="4"/>
  <c r="E35" i="4" s="1"/>
  <c r="F36" i="4"/>
  <c r="E36" i="4" s="1"/>
  <c r="F37" i="4"/>
  <c r="E37" i="4" s="1"/>
  <c r="F38" i="4"/>
  <c r="E38" i="4" s="1"/>
  <c r="F39" i="4"/>
  <c r="E39" i="4" s="1"/>
  <c r="F40" i="4"/>
  <c r="E40" i="4" s="1"/>
  <c r="F41" i="4"/>
  <c r="E41" i="4" s="1"/>
  <c r="F42" i="4"/>
  <c r="E42" i="4" s="1"/>
  <c r="F43" i="4"/>
  <c r="E43" i="4" s="1"/>
  <c r="F44" i="4"/>
  <c r="E44" i="4" s="1"/>
  <c r="F45" i="4"/>
  <c r="E45" i="4" s="1"/>
  <c r="F46" i="4"/>
  <c r="E46" i="4" s="1"/>
  <c r="F47" i="4"/>
  <c r="E47" i="4" s="1"/>
  <c r="F48" i="4"/>
  <c r="E48" i="4" s="1"/>
  <c r="F49" i="4"/>
  <c r="E49" i="4" s="1"/>
  <c r="F50" i="4"/>
  <c r="E50" i="4" s="1"/>
  <c r="F51" i="4"/>
  <c r="E51" i="4" s="1"/>
  <c r="F52" i="4"/>
  <c r="E52" i="4" s="1"/>
  <c r="F53" i="4"/>
  <c r="E53" i="4" s="1"/>
  <c r="F54" i="4"/>
  <c r="E54" i="4" s="1"/>
  <c r="F55" i="4"/>
  <c r="E55" i="4" s="1"/>
  <c r="F56" i="4"/>
  <c r="E56" i="4" s="1"/>
  <c r="F57" i="4"/>
  <c r="E57" i="4" s="1"/>
  <c r="F58" i="4"/>
  <c r="E58" i="4" s="1"/>
  <c r="F59" i="4"/>
  <c r="E59" i="4" s="1"/>
  <c r="F60" i="4"/>
  <c r="E60" i="4" s="1"/>
  <c r="F61" i="4"/>
  <c r="E61" i="4" s="1"/>
  <c r="F62" i="4"/>
  <c r="E62" i="4" s="1"/>
  <c r="F63" i="4"/>
  <c r="E63" i="4" s="1"/>
  <c r="F64" i="4"/>
  <c r="E64" i="4" s="1"/>
  <c r="F65" i="4"/>
  <c r="E65" i="4" s="1"/>
  <c r="F66" i="4"/>
  <c r="E66" i="4" s="1"/>
  <c r="F67" i="4"/>
  <c r="E67" i="4" s="1"/>
  <c r="F68" i="4"/>
  <c r="E68" i="4" s="1"/>
  <c r="F69" i="4"/>
  <c r="E69" i="4" s="1"/>
  <c r="F70" i="4"/>
  <c r="E70" i="4" s="1"/>
  <c r="F71" i="4"/>
  <c r="E71" i="4" s="1"/>
  <c r="F72" i="4"/>
  <c r="E72" i="4" s="1"/>
  <c r="F73" i="4"/>
  <c r="E73" i="4" s="1"/>
  <c r="F74" i="4"/>
  <c r="E74" i="4" s="1"/>
  <c r="F75" i="4"/>
  <c r="E75" i="4" s="1"/>
  <c r="F76" i="4"/>
  <c r="E76" i="4" s="1"/>
  <c r="F77" i="4"/>
  <c r="E77" i="4" s="1"/>
  <c r="F78" i="4"/>
  <c r="E78" i="4" s="1"/>
  <c r="F79" i="4"/>
  <c r="E79" i="4" s="1"/>
  <c r="F80" i="4"/>
  <c r="E80" i="4" s="1"/>
  <c r="F81" i="4"/>
  <c r="E81" i="4" s="1"/>
  <c r="F82" i="4"/>
  <c r="E82" i="4" s="1"/>
  <c r="F83" i="4"/>
  <c r="E83" i="4" s="1"/>
  <c r="F84" i="4"/>
  <c r="E84" i="4" s="1"/>
  <c r="F85" i="4"/>
  <c r="E85" i="4" s="1"/>
  <c r="F86" i="4"/>
  <c r="E86" i="4" s="1"/>
  <c r="F87" i="4"/>
  <c r="E87" i="4" s="1"/>
  <c r="F88" i="4"/>
  <c r="E88" i="4" s="1"/>
  <c r="F89" i="4"/>
  <c r="E89" i="4" s="1"/>
  <c r="F90" i="4"/>
  <c r="E90" i="4" s="1"/>
  <c r="F91" i="4"/>
  <c r="E91" i="4" s="1"/>
  <c r="F92" i="4"/>
  <c r="E92" i="4" s="1"/>
  <c r="F93" i="4"/>
  <c r="E93" i="4" s="1"/>
  <c r="F94" i="4"/>
  <c r="E94" i="4" s="1"/>
  <c r="F95" i="4"/>
  <c r="E95" i="4" s="1"/>
  <c r="F96" i="4"/>
  <c r="E96" i="4" s="1"/>
  <c r="F97" i="4"/>
  <c r="E97" i="4" s="1"/>
  <c r="F98" i="4"/>
  <c r="E98" i="4" s="1"/>
  <c r="F99" i="4"/>
  <c r="E99" i="4" s="1"/>
  <c r="F100" i="4"/>
  <c r="E100" i="4" s="1"/>
  <c r="F101" i="4"/>
  <c r="E101" i="4" s="1"/>
  <c r="F102" i="4"/>
  <c r="E102" i="4" s="1"/>
  <c r="F103" i="4"/>
  <c r="E103" i="4" s="1"/>
  <c r="F104" i="4"/>
  <c r="E104" i="4" s="1"/>
  <c r="F105" i="4"/>
  <c r="E105" i="4" s="1"/>
  <c r="F106" i="4"/>
  <c r="E106" i="4" s="1"/>
  <c r="F107" i="4"/>
  <c r="E107" i="4" s="1"/>
  <c r="F108" i="4"/>
  <c r="E108" i="4" s="1"/>
  <c r="F109" i="4"/>
  <c r="E109" i="4" s="1"/>
  <c r="F110" i="4"/>
  <c r="E110" i="4" s="1"/>
  <c r="F111" i="4"/>
  <c r="E111" i="4" s="1"/>
  <c r="F112" i="4"/>
  <c r="F113" i="4"/>
  <c r="E113" i="4" s="1"/>
  <c r="F114" i="4"/>
  <c r="E114" i="4" s="1"/>
  <c r="F115" i="4"/>
  <c r="E115" i="4" s="1"/>
  <c r="F116" i="4"/>
  <c r="F117" i="4"/>
  <c r="E117" i="4" s="1"/>
  <c r="F118" i="4"/>
  <c r="F119" i="4"/>
  <c r="E119" i="4" s="1"/>
  <c r="F120" i="4"/>
  <c r="E120" i="4" s="1"/>
  <c r="F121" i="4"/>
  <c r="E121" i="4" s="1"/>
  <c r="F122" i="4"/>
  <c r="E122" i="4" s="1"/>
  <c r="F123" i="4"/>
  <c r="E123" i="4" s="1"/>
  <c r="F124" i="4"/>
  <c r="E124" i="4" s="1"/>
  <c r="F125" i="4"/>
  <c r="E125" i="4" s="1"/>
  <c r="F126" i="4"/>
  <c r="E126" i="4" s="1"/>
  <c r="F127" i="4"/>
  <c r="E127" i="4" s="1"/>
  <c r="F128" i="4"/>
  <c r="E128" i="4" s="1"/>
  <c r="F129" i="4"/>
  <c r="E129" i="4" s="1"/>
  <c r="F130" i="4"/>
  <c r="E130" i="4" s="1"/>
  <c r="F131" i="4"/>
  <c r="E131" i="4" s="1"/>
  <c r="F132" i="4"/>
  <c r="E132" i="4" s="1"/>
  <c r="F133" i="4"/>
  <c r="E133" i="4" s="1"/>
  <c r="F135" i="4"/>
  <c r="E135" i="4" s="1"/>
  <c r="F136" i="4"/>
  <c r="E136" i="4" s="1"/>
  <c r="F137" i="4"/>
  <c r="E137" i="4" s="1"/>
  <c r="F138" i="4"/>
  <c r="E138" i="4" s="1"/>
  <c r="F139" i="4"/>
  <c r="E139" i="4" s="1"/>
  <c r="F140" i="4"/>
  <c r="E140" i="4" s="1"/>
  <c r="F141" i="4"/>
  <c r="E141" i="4" s="1"/>
  <c r="F142" i="4"/>
  <c r="E142" i="4" s="1"/>
  <c r="F143" i="4"/>
  <c r="E143" i="4" s="1"/>
  <c r="F144" i="4"/>
  <c r="E144" i="4" s="1"/>
  <c r="F145" i="4"/>
  <c r="E145" i="4" s="1"/>
  <c r="F146" i="4"/>
  <c r="E146" i="4" s="1"/>
  <c r="F147" i="4"/>
  <c r="E147" i="4" s="1"/>
  <c r="F148" i="4"/>
  <c r="E148" i="4" s="1"/>
  <c r="F149" i="4"/>
  <c r="E149" i="4" s="1"/>
  <c r="F150" i="4"/>
  <c r="E150" i="4" s="1"/>
  <c r="F151" i="4"/>
  <c r="E151" i="4" s="1"/>
  <c r="F152" i="4"/>
  <c r="E152" i="4" s="1"/>
  <c r="F153" i="4"/>
  <c r="E153" i="4" s="1"/>
  <c r="F154" i="4"/>
  <c r="E154" i="4" s="1"/>
  <c r="F155" i="4"/>
  <c r="E155" i="4" s="1"/>
  <c r="F156" i="4"/>
  <c r="E156" i="4" s="1"/>
  <c r="F157" i="4"/>
  <c r="E157" i="4" s="1"/>
  <c r="F158" i="4"/>
  <c r="E158" i="4" s="1"/>
  <c r="F159" i="4"/>
  <c r="E159" i="4" s="1"/>
  <c r="F160" i="4"/>
  <c r="E160" i="4" s="1"/>
  <c r="F161" i="4"/>
  <c r="E161" i="4" s="1"/>
  <c r="F162" i="4"/>
  <c r="E162" i="4" s="1"/>
  <c r="F163" i="4"/>
  <c r="E163" i="4" s="1"/>
  <c r="F164" i="4"/>
  <c r="E164" i="4" s="1"/>
  <c r="F165" i="4"/>
  <c r="E165" i="4" s="1"/>
  <c r="F166" i="4"/>
  <c r="E166" i="4" s="1"/>
  <c r="F167" i="4"/>
  <c r="E167" i="4" s="1"/>
  <c r="F168" i="4"/>
  <c r="E168" i="4" s="1"/>
  <c r="F169" i="4"/>
  <c r="E169" i="4" s="1"/>
  <c r="F170" i="4"/>
  <c r="E170" i="4" s="1"/>
  <c r="F171" i="4"/>
  <c r="E171" i="4" s="1"/>
  <c r="F172" i="4"/>
  <c r="E172" i="4" s="1"/>
  <c r="F173" i="4"/>
  <c r="E173" i="4" s="1"/>
  <c r="F174" i="4"/>
  <c r="E174" i="4" s="1"/>
  <c r="F2" i="4"/>
  <c r="E2" i="4" s="1"/>
  <c r="T38" i="7" l="1"/>
  <c r="U38" i="7" s="1"/>
  <c r="T84" i="7"/>
  <c r="N84" i="7" s="1"/>
  <c r="P84" i="7" s="1"/>
  <c r="Q84" i="7" s="1"/>
  <c r="J84" i="7" s="1"/>
  <c r="K84" i="7" s="1"/>
  <c r="T179" i="7"/>
  <c r="N179" i="7" s="1"/>
  <c r="P179" i="7" s="1"/>
  <c r="Q179" i="7" s="1"/>
  <c r="J179" i="7" s="1"/>
  <c r="T165" i="7"/>
  <c r="T30" i="7"/>
  <c r="N30" i="7" s="1"/>
  <c r="P30" i="7" s="1"/>
  <c r="Q30" i="7" s="1"/>
  <c r="J30" i="7" s="1"/>
  <c r="T164" i="7"/>
  <c r="U164" i="7" s="1"/>
  <c r="T36" i="7"/>
  <c r="N36" i="7" s="1"/>
  <c r="P36" i="7" s="1"/>
  <c r="Q36" i="7" s="1"/>
  <c r="J36" i="7" s="1"/>
  <c r="T119" i="7"/>
  <c r="N119" i="7" s="1"/>
  <c r="P119" i="7" s="1"/>
  <c r="Q119" i="7" s="1"/>
  <c r="J119" i="7" s="1"/>
  <c r="T32" i="7"/>
  <c r="N32" i="7" s="1"/>
  <c r="P32" i="7" s="1"/>
  <c r="Q32" i="7" s="1"/>
  <c r="J32" i="7" s="1"/>
  <c r="T100" i="7"/>
  <c r="U100" i="7" s="1"/>
  <c r="T108" i="7"/>
  <c r="U108" i="7" s="1"/>
  <c r="T144" i="7"/>
  <c r="U144" i="7" s="1"/>
  <c r="T159" i="7"/>
  <c r="U159" i="7" s="1"/>
  <c r="T91" i="7"/>
  <c r="U91" i="7" s="1"/>
  <c r="T163" i="7"/>
  <c r="N163" i="7" s="1"/>
  <c r="P163" i="7" s="1"/>
  <c r="Q163" i="7" s="1"/>
  <c r="J163" i="7" s="1"/>
  <c r="T64" i="7"/>
  <c r="N64" i="7" s="1"/>
  <c r="P64" i="7" s="1"/>
  <c r="Q64" i="7" s="1"/>
  <c r="J64" i="7" s="1"/>
  <c r="T118" i="7"/>
  <c r="N118" i="7" s="1"/>
  <c r="P118" i="7" s="1"/>
  <c r="Q118" i="7" s="1"/>
  <c r="J118" i="7" s="1"/>
  <c r="K118" i="7" s="1"/>
  <c r="T145" i="7"/>
  <c r="N145" i="7" s="1"/>
  <c r="P145" i="7" s="1"/>
  <c r="Q145" i="7" s="1"/>
  <c r="J145" i="7" s="1"/>
  <c r="K145" i="7" s="1"/>
  <c r="T28" i="7"/>
  <c r="N28" i="7" s="1"/>
  <c r="P28" i="7" s="1"/>
  <c r="Q28" i="7" s="1"/>
  <c r="J28" i="7" s="1"/>
  <c r="T24" i="7"/>
  <c r="N24" i="7" s="1"/>
  <c r="P24" i="7" s="1"/>
  <c r="Q24" i="7" s="1"/>
  <c r="J24" i="7" s="1"/>
  <c r="K24" i="7" s="1"/>
  <c r="T49" i="7"/>
  <c r="U49" i="7" s="1"/>
  <c r="T112" i="7"/>
  <c r="N112" i="7" s="1"/>
  <c r="P112" i="7" s="1"/>
  <c r="Q112" i="7" s="1"/>
  <c r="J112" i="7" s="1"/>
  <c r="T168" i="7"/>
  <c r="N168" i="7" s="1"/>
  <c r="P168" i="7" s="1"/>
  <c r="Q168" i="7" s="1"/>
  <c r="J168" i="7" s="1"/>
  <c r="T19" i="7"/>
  <c r="N19" i="7" s="1"/>
  <c r="P19" i="7" s="1"/>
  <c r="Q19" i="7" s="1"/>
  <c r="J19" i="7" s="1"/>
  <c r="T143" i="7"/>
  <c r="N143" i="7" s="1"/>
  <c r="P143" i="7" s="1"/>
  <c r="Q143" i="7" s="1"/>
  <c r="J143" i="7" s="1"/>
  <c r="T14" i="7"/>
  <c r="N14" i="7" s="1"/>
  <c r="P14" i="7" s="1"/>
  <c r="Q14" i="7" s="1"/>
  <c r="J14" i="7" s="1"/>
  <c r="K14" i="7" s="1"/>
  <c r="T128" i="7"/>
  <c r="N128" i="7" s="1"/>
  <c r="P128" i="7" s="1"/>
  <c r="Q128" i="7" s="1"/>
  <c r="J128" i="7" s="1"/>
  <c r="T121" i="7"/>
  <c r="U121" i="7" s="1"/>
  <c r="T99" i="7"/>
  <c r="N99" i="7" s="1"/>
  <c r="P99" i="7" s="1"/>
  <c r="Q99" i="7" s="1"/>
  <c r="J99" i="7" s="1"/>
  <c r="T126" i="7"/>
  <c r="N126" i="7" s="1"/>
  <c r="P126" i="7" s="1"/>
  <c r="Q126" i="7" s="1"/>
  <c r="J126" i="7" s="1"/>
  <c r="T23" i="7"/>
  <c r="N23" i="7" s="1"/>
  <c r="P23" i="7" s="1"/>
  <c r="Q23" i="7" s="1"/>
  <c r="J23" i="7" s="1"/>
  <c r="T87" i="7"/>
  <c r="N87" i="7" s="1"/>
  <c r="P87" i="7" s="1"/>
  <c r="Q87" i="7" s="1"/>
  <c r="J87" i="7" s="1"/>
  <c r="T25" i="7"/>
  <c r="U25" i="7" s="1"/>
  <c r="T81" i="7"/>
  <c r="N81" i="7" s="1"/>
  <c r="P81" i="7" s="1"/>
  <c r="Q81" i="7" s="1"/>
  <c r="J81" i="7" s="1"/>
  <c r="K81" i="7" s="1"/>
  <c r="T82" i="7"/>
  <c r="N82" i="7" s="1"/>
  <c r="P82" i="7" s="1"/>
  <c r="Q82" i="7" s="1"/>
  <c r="J82" i="7" s="1"/>
  <c r="T15" i="7"/>
  <c r="U15" i="7" s="1"/>
  <c r="T117" i="7"/>
  <c r="N117" i="7" s="1"/>
  <c r="P117" i="7" s="1"/>
  <c r="Q117" i="7" s="1"/>
  <c r="J117" i="7" s="1"/>
  <c r="T17" i="7"/>
  <c r="U17" i="7" s="1"/>
  <c r="T77" i="7"/>
  <c r="N77" i="7" s="1"/>
  <c r="P77" i="7" s="1"/>
  <c r="Q77" i="7" s="1"/>
  <c r="J77" i="7" s="1"/>
  <c r="T161" i="7"/>
  <c r="U161" i="7" s="1"/>
  <c r="T20" i="7"/>
  <c r="N20" i="7" s="1"/>
  <c r="P20" i="7" s="1"/>
  <c r="Q20" i="7" s="1"/>
  <c r="J20" i="7" s="1"/>
  <c r="T83" i="7"/>
  <c r="N83" i="7" s="1"/>
  <c r="P83" i="7" s="1"/>
  <c r="Q83" i="7" s="1"/>
  <c r="J83" i="7" s="1"/>
  <c r="T124" i="7"/>
  <c r="N124" i="7" s="1"/>
  <c r="P124" i="7" s="1"/>
  <c r="Q124" i="7" s="1"/>
  <c r="J124" i="7" s="1"/>
  <c r="K124" i="7" s="1"/>
  <c r="T180" i="7"/>
  <c r="N180" i="7" s="1"/>
  <c r="P180" i="7" s="1"/>
  <c r="Q180" i="7" s="1"/>
  <c r="J180" i="7" s="1"/>
  <c r="K180" i="7" s="1"/>
  <c r="T181" i="7"/>
  <c r="N181" i="7" s="1"/>
  <c r="P181" i="7" s="1"/>
  <c r="Q181" i="7" s="1"/>
  <c r="J181" i="7" s="1"/>
  <c r="K181" i="7" s="1"/>
  <c r="T26" i="7"/>
  <c r="N26" i="7" s="1"/>
  <c r="P26" i="7" s="1"/>
  <c r="Q26" i="7" s="1"/>
  <c r="J26" i="7" s="1"/>
  <c r="T79" i="7"/>
  <c r="N79" i="7" s="1"/>
  <c r="P79" i="7" s="1"/>
  <c r="Q79" i="7" s="1"/>
  <c r="J79" i="7" s="1"/>
  <c r="T139" i="7"/>
  <c r="N139" i="7" s="1"/>
  <c r="P139" i="7" s="1"/>
  <c r="Q139" i="7" s="1"/>
  <c r="J139" i="7" s="1"/>
  <c r="T22" i="7"/>
  <c r="U22" i="7" s="1"/>
  <c r="T88" i="7"/>
  <c r="N88" i="7" s="1"/>
  <c r="P88" i="7" s="1"/>
  <c r="Q88" i="7" s="1"/>
  <c r="J88" i="7" s="1"/>
  <c r="T21" i="7"/>
  <c r="N21" i="7" s="1"/>
  <c r="P21" i="7" s="1"/>
  <c r="Q21" i="7" s="1"/>
  <c r="J21" i="7" s="1"/>
  <c r="T182" i="7"/>
  <c r="U182" i="7" s="1"/>
  <c r="T172" i="7"/>
  <c r="N172" i="7" s="1"/>
  <c r="P172" i="7" s="1"/>
  <c r="Q172" i="7" s="1"/>
  <c r="J172" i="7" s="1"/>
  <c r="T129" i="7"/>
  <c r="N129" i="7" s="1"/>
  <c r="P129" i="7" s="1"/>
  <c r="Q129" i="7" s="1"/>
  <c r="J129" i="7" s="1"/>
  <c r="T71" i="7"/>
  <c r="N71" i="7" s="1"/>
  <c r="P71" i="7" s="1"/>
  <c r="Q71" i="7" s="1"/>
  <c r="J71" i="7" s="1"/>
  <c r="T97" i="7"/>
  <c r="U97" i="7" s="1"/>
  <c r="T156" i="7"/>
  <c r="N156" i="7" s="1"/>
  <c r="P156" i="7" s="1"/>
  <c r="Q156" i="7" s="1"/>
  <c r="J156" i="7" s="1"/>
  <c r="T171" i="7"/>
  <c r="N171" i="7" s="1"/>
  <c r="P171" i="7" s="1"/>
  <c r="Q171" i="7" s="1"/>
  <c r="J171" i="7" s="1"/>
  <c r="T170" i="7"/>
  <c r="U170" i="7" s="1"/>
  <c r="T52" i="7"/>
  <c r="N52" i="7" s="1"/>
  <c r="P52" i="7" s="1"/>
  <c r="Q52" i="7" s="1"/>
  <c r="J52" i="7" s="1"/>
  <c r="T113" i="7"/>
  <c r="N113" i="7" s="1"/>
  <c r="P113" i="7" s="1"/>
  <c r="Q113" i="7" s="1"/>
  <c r="J113" i="7" s="1"/>
  <c r="T16" i="7"/>
  <c r="N16" i="7" s="1"/>
  <c r="P16" i="7" s="1"/>
  <c r="Q16" i="7" s="1"/>
  <c r="J16" i="7" s="1"/>
  <c r="T122" i="7"/>
  <c r="U122" i="7" s="1"/>
  <c r="T11" i="7"/>
  <c r="U11" i="7" s="1"/>
  <c r="N37" i="7"/>
  <c r="P37" i="7" s="1"/>
  <c r="Q37" i="7" s="1"/>
  <c r="J37" i="7" s="1"/>
  <c r="U37" i="7"/>
  <c r="P2" i="4"/>
  <c r="T2" i="4"/>
  <c r="P5" i="4"/>
  <c r="T5" i="4"/>
  <c r="U5" i="4" s="1"/>
  <c r="P77" i="4"/>
  <c r="T77" i="4"/>
  <c r="U77" i="4" s="1"/>
  <c r="P32" i="4"/>
  <c r="T32" i="4"/>
  <c r="U32" i="4" s="1"/>
  <c r="P39" i="4"/>
  <c r="T39" i="4"/>
  <c r="U39" i="4" s="1"/>
  <c r="P27" i="4"/>
  <c r="T27" i="4"/>
  <c r="U27" i="4" s="1"/>
  <c r="P101" i="4"/>
  <c r="T101" i="4"/>
  <c r="U101" i="4" s="1"/>
  <c r="P138" i="4"/>
  <c r="T138" i="4"/>
  <c r="U138" i="4" s="1"/>
  <c r="P33" i="4"/>
  <c r="T33" i="4"/>
  <c r="U33" i="4" s="1"/>
  <c r="P90" i="4"/>
  <c r="T90" i="4"/>
  <c r="U90" i="4" s="1"/>
  <c r="P35" i="4"/>
  <c r="T35" i="4"/>
  <c r="U35" i="4" s="1"/>
  <c r="P115" i="4"/>
  <c r="T115" i="4"/>
  <c r="U115" i="4" s="1"/>
  <c r="N18" i="7"/>
  <c r="P18" i="7" s="1"/>
  <c r="Q18" i="7" s="1"/>
  <c r="J18" i="7" s="1"/>
  <c r="U18" i="7"/>
  <c r="N154" i="7"/>
  <c r="P154" i="7" s="1"/>
  <c r="Q154" i="7" s="1"/>
  <c r="J154" i="7" s="1"/>
  <c r="U154" i="7"/>
  <c r="T31" i="7"/>
  <c r="U23" i="4"/>
  <c r="T29" i="7"/>
  <c r="U21" i="4"/>
  <c r="N49" i="7"/>
  <c r="P49" i="7" s="1"/>
  <c r="Q49" i="7" s="1"/>
  <c r="J49" i="7" s="1"/>
  <c r="N159" i="7"/>
  <c r="P159" i="7" s="1"/>
  <c r="Q159" i="7" s="1"/>
  <c r="J159" i="7" s="1"/>
  <c r="U117" i="7"/>
  <c r="N178" i="7"/>
  <c r="P178" i="7" s="1"/>
  <c r="Q178" i="7" s="1"/>
  <c r="J178" i="7" s="1"/>
  <c r="U178" i="7"/>
  <c r="P117" i="4"/>
  <c r="T117" i="4"/>
  <c r="U117" i="4" s="1"/>
  <c r="P131" i="4"/>
  <c r="T131" i="4"/>
  <c r="U131" i="4" s="1"/>
  <c r="P168" i="4"/>
  <c r="T168" i="4"/>
  <c r="U168" i="4" s="1"/>
  <c r="P67" i="4"/>
  <c r="T67" i="4"/>
  <c r="U67" i="4" s="1"/>
  <c r="P36" i="4"/>
  <c r="T36" i="4"/>
  <c r="U36" i="4" s="1"/>
  <c r="P87" i="4"/>
  <c r="T87" i="4"/>
  <c r="U87" i="4" s="1"/>
  <c r="P43" i="4"/>
  <c r="T43" i="4"/>
  <c r="U43" i="4" s="1"/>
  <c r="T37" i="4"/>
  <c r="U37" i="4" s="1"/>
  <c r="P37" i="4"/>
  <c r="N165" i="7"/>
  <c r="P165" i="7" s="1"/>
  <c r="Q165" i="7" s="1"/>
  <c r="J165" i="7" s="1"/>
  <c r="U165" i="7"/>
  <c r="T150" i="7"/>
  <c r="T68" i="7"/>
  <c r="T133" i="7"/>
  <c r="T55" i="7"/>
  <c r="T134" i="7"/>
  <c r="U125" i="4"/>
  <c r="T143" i="4"/>
  <c r="U143" i="4" s="1"/>
  <c r="P143" i="4"/>
  <c r="T49" i="4"/>
  <c r="P49" i="4"/>
  <c r="T122" i="4"/>
  <c r="U122" i="4" s="1"/>
  <c r="P122" i="4"/>
  <c r="T34" i="7"/>
  <c r="T96" i="7"/>
  <c r="T132" i="7"/>
  <c r="T65" i="7"/>
  <c r="T177" i="7"/>
  <c r="T116" i="7"/>
  <c r="T42" i="7"/>
  <c r="T67" i="7"/>
  <c r="T62" i="7"/>
  <c r="T46" i="7"/>
  <c r="T105" i="7"/>
  <c r="T94" i="7"/>
  <c r="T80" i="7"/>
  <c r="T60" i="7"/>
  <c r="T69" i="7"/>
  <c r="T155" i="7"/>
  <c r="T53" i="7"/>
  <c r="T48" i="7"/>
  <c r="T138" i="7"/>
  <c r="T63" i="7"/>
  <c r="T59" i="7"/>
  <c r="T169" i="7"/>
  <c r="T70" i="7"/>
  <c r="T61" i="7"/>
  <c r="T78" i="7"/>
  <c r="T166" i="7"/>
  <c r="T167" i="7"/>
  <c r="T54" i="7"/>
  <c r="T153" i="7"/>
  <c r="T74" i="7"/>
  <c r="T175" i="7"/>
  <c r="T58" i="7"/>
  <c r="T127" i="7"/>
  <c r="T93" i="7"/>
  <c r="T92" i="7"/>
  <c r="T102" i="7"/>
  <c r="T90" i="7"/>
  <c r="T106" i="7"/>
  <c r="T152" i="7"/>
  <c r="T39" i="7"/>
  <c r="T149" i="7"/>
  <c r="T66" i="7"/>
  <c r="T56" i="7"/>
  <c r="T135" i="7"/>
  <c r="T101" i="7"/>
  <c r="T120" i="7"/>
  <c r="T157" i="7"/>
  <c r="T107" i="7"/>
  <c r="T160" i="7"/>
  <c r="T114" i="7"/>
  <c r="T73" i="7"/>
  <c r="T76" i="7"/>
  <c r="T141" i="7"/>
  <c r="T142" i="7"/>
  <c r="T89" i="7"/>
  <c r="T72" i="7"/>
  <c r="T110" i="7"/>
  <c r="T86" i="7"/>
  <c r="T115" i="7"/>
  <c r="T136" i="7"/>
  <c r="T111" i="7"/>
  <c r="T148" i="7"/>
  <c r="T137" i="7"/>
  <c r="T103" i="7"/>
  <c r="T50" i="7"/>
  <c r="T158" i="7"/>
  <c r="T130" i="7"/>
  <c r="T104" i="7"/>
  <c r="T147" i="7"/>
  <c r="T162" i="7"/>
  <c r="Q165" i="4"/>
  <c r="K5" i="4"/>
  <c r="U181" i="7" l="1"/>
  <c r="U99" i="7"/>
  <c r="N38" i="7"/>
  <c r="P38" i="7" s="1"/>
  <c r="Q38" i="7" s="1"/>
  <c r="J38" i="7" s="1"/>
  <c r="U113" i="7"/>
  <c r="U30" i="7"/>
  <c r="T43" i="7"/>
  <c r="N43" i="7" s="1"/>
  <c r="P43" i="7" s="1"/>
  <c r="Q43" i="7" s="1"/>
  <c r="J43" i="7" s="1"/>
  <c r="T41" i="7"/>
  <c r="U41" i="7" s="1"/>
  <c r="T140" i="7"/>
  <c r="N140" i="7" s="1"/>
  <c r="P140" i="7" s="1"/>
  <c r="Q140" i="7" s="1"/>
  <c r="J140" i="7" s="1"/>
  <c r="U179" i="7"/>
  <c r="U14" i="7"/>
  <c r="U84" i="7"/>
  <c r="N164" i="7"/>
  <c r="P164" i="7" s="1"/>
  <c r="Q164" i="7" s="1"/>
  <c r="J164" i="7" s="1"/>
  <c r="N100" i="7"/>
  <c r="P100" i="7" s="1"/>
  <c r="Q100" i="7" s="1"/>
  <c r="J100" i="7" s="1"/>
  <c r="U82" i="7"/>
  <c r="N108" i="7"/>
  <c r="P108" i="7" s="1"/>
  <c r="Q108" i="7" s="1"/>
  <c r="J108" i="7" s="1"/>
  <c r="K108" i="7" s="1"/>
  <c r="U32" i="7"/>
  <c r="U126" i="7"/>
  <c r="N91" i="7"/>
  <c r="P91" i="7" s="1"/>
  <c r="Q91" i="7" s="1"/>
  <c r="J91" i="7" s="1"/>
  <c r="U36" i="7"/>
  <c r="U119" i="7"/>
  <c r="U112" i="7"/>
  <c r="T75" i="7"/>
  <c r="U75" i="7" s="1"/>
  <c r="N144" i="7"/>
  <c r="P144" i="7" s="1"/>
  <c r="Q144" i="7" s="1"/>
  <c r="J144" i="7" s="1"/>
  <c r="K144" i="7" s="1"/>
  <c r="U81" i="7"/>
  <c r="U145" i="7"/>
  <c r="U52" i="7"/>
  <c r="N170" i="7"/>
  <c r="P170" i="7" s="1"/>
  <c r="Q170" i="7" s="1"/>
  <c r="J170" i="7" s="1"/>
  <c r="U163" i="7"/>
  <c r="U172" i="7"/>
  <c r="M173" i="7"/>
  <c r="T165" i="4"/>
  <c r="U165" i="4" s="1"/>
  <c r="N25" i="7"/>
  <c r="P25" i="7" s="1"/>
  <c r="Q25" i="7" s="1"/>
  <c r="J25" i="7" s="1"/>
  <c r="U143" i="7"/>
  <c r="U118" i="7"/>
  <c r="N17" i="7"/>
  <c r="P17" i="7" s="1"/>
  <c r="Q17" i="7" s="1"/>
  <c r="J17" i="7" s="1"/>
  <c r="N11" i="7"/>
  <c r="P11" i="7" s="1"/>
  <c r="Q11" i="7" s="1"/>
  <c r="J11" i="7" s="1"/>
  <c r="U16" i="7"/>
  <c r="U156" i="7"/>
  <c r="U20" i="7"/>
  <c r="N22" i="7"/>
  <c r="P22" i="7" s="1"/>
  <c r="Q22" i="7" s="1"/>
  <c r="J22" i="7" s="1"/>
  <c r="U64" i="7"/>
  <c r="U71" i="7"/>
  <c r="N122" i="7"/>
  <c r="P122" i="7" s="1"/>
  <c r="Q122" i="7" s="1"/>
  <c r="J122" i="7" s="1"/>
  <c r="U83" i="7"/>
  <c r="U26" i="7"/>
  <c r="U19" i="7"/>
  <c r="N97" i="7"/>
  <c r="P97" i="7" s="1"/>
  <c r="Q97" i="7" s="1"/>
  <c r="J97" i="7" s="1"/>
  <c r="N182" i="7"/>
  <c r="U24" i="7"/>
  <c r="N161" i="7"/>
  <c r="P161" i="7" s="1"/>
  <c r="Q161" i="7" s="1"/>
  <c r="J161" i="7" s="1"/>
  <c r="N121" i="7"/>
  <c r="P121" i="7" s="1"/>
  <c r="Q121" i="7" s="1"/>
  <c r="J121" i="7" s="1"/>
  <c r="N15" i="7"/>
  <c r="P15" i="7" s="1"/>
  <c r="Q15" i="7" s="1"/>
  <c r="J15" i="7" s="1"/>
  <c r="U21" i="7"/>
  <c r="U77" i="7"/>
  <c r="U23" i="7"/>
  <c r="U128" i="7"/>
  <c r="U124" i="7"/>
  <c r="U28" i="7"/>
  <c r="U79" i="7"/>
  <c r="T35" i="7"/>
  <c r="U35" i="7" s="1"/>
  <c r="U171" i="7"/>
  <c r="U168" i="7"/>
  <c r="U180" i="7"/>
  <c r="T131" i="7"/>
  <c r="N131" i="7" s="1"/>
  <c r="P131" i="7" s="1"/>
  <c r="Q131" i="7" s="1"/>
  <c r="J131" i="7" s="1"/>
  <c r="U139" i="7"/>
  <c r="U87" i="7"/>
  <c r="T123" i="7"/>
  <c r="U123" i="7" s="1"/>
  <c r="T13" i="7"/>
  <c r="U13" i="7" s="1"/>
  <c r="T40" i="7"/>
  <c r="N40" i="7" s="1"/>
  <c r="P40" i="7" s="1"/>
  <c r="Q40" i="7" s="1"/>
  <c r="J40" i="7" s="1"/>
  <c r="T44" i="7"/>
  <c r="U44" i="7" s="1"/>
  <c r="T125" i="7"/>
  <c r="N125" i="7" s="1"/>
  <c r="P125" i="7" s="1"/>
  <c r="Q125" i="7" s="1"/>
  <c r="J125" i="7" s="1"/>
  <c r="K125" i="7" s="1"/>
  <c r="U129" i="7"/>
  <c r="U88" i="7"/>
  <c r="T98" i="7"/>
  <c r="U98" i="7" s="1"/>
  <c r="T146" i="7"/>
  <c r="N146" i="7" s="1"/>
  <c r="P146" i="7" s="1"/>
  <c r="Q146" i="7" s="1"/>
  <c r="J146" i="7" s="1"/>
  <c r="T51" i="7"/>
  <c r="U51" i="7" s="1"/>
  <c r="T176" i="7"/>
  <c r="N176" i="7" s="1"/>
  <c r="P176" i="7" s="1"/>
  <c r="Q176" i="7" s="1"/>
  <c r="J176" i="7" s="1"/>
  <c r="K176" i="7" s="1"/>
  <c r="N103" i="7"/>
  <c r="P103" i="7" s="1"/>
  <c r="Q103" i="7" s="1"/>
  <c r="J103" i="7" s="1"/>
  <c r="U103" i="7"/>
  <c r="N114" i="7"/>
  <c r="P114" i="7" s="1"/>
  <c r="Q114" i="7" s="1"/>
  <c r="J114" i="7" s="1"/>
  <c r="K114" i="7" s="1"/>
  <c r="U114" i="7"/>
  <c r="N56" i="7"/>
  <c r="P56" i="7" s="1"/>
  <c r="Q56" i="7" s="1"/>
  <c r="J56" i="7" s="1"/>
  <c r="U56" i="7"/>
  <c r="N39" i="7"/>
  <c r="P39" i="7" s="1"/>
  <c r="Q39" i="7" s="1"/>
  <c r="J39" i="7" s="1"/>
  <c r="U39" i="7"/>
  <c r="N167" i="7"/>
  <c r="P167" i="7" s="1"/>
  <c r="Q167" i="7" s="1"/>
  <c r="J167" i="7" s="1"/>
  <c r="U167" i="7"/>
  <c r="N48" i="7"/>
  <c r="P48" i="7" s="1"/>
  <c r="Q48" i="7" s="1"/>
  <c r="J48" i="7" s="1"/>
  <c r="U48" i="7"/>
  <c r="N94" i="7"/>
  <c r="P94" i="7" s="1"/>
  <c r="Q94" i="7" s="1"/>
  <c r="J94" i="7" s="1"/>
  <c r="U94" i="7"/>
  <c r="N116" i="7"/>
  <c r="P116" i="7" s="1"/>
  <c r="Q116" i="7" s="1"/>
  <c r="J116" i="7" s="1"/>
  <c r="K116" i="7" s="1"/>
  <c r="U116" i="7"/>
  <c r="N96" i="7"/>
  <c r="P96" i="7" s="1"/>
  <c r="Q96" i="7" s="1"/>
  <c r="J96" i="7" s="1"/>
  <c r="U96" i="7"/>
  <c r="N55" i="7"/>
  <c r="P55" i="7" s="1"/>
  <c r="Q55" i="7" s="1"/>
  <c r="J55" i="7" s="1"/>
  <c r="U55" i="7"/>
  <c r="N162" i="7"/>
  <c r="P162" i="7" s="1"/>
  <c r="Q162" i="7" s="1"/>
  <c r="J162" i="7" s="1"/>
  <c r="U162" i="7"/>
  <c r="N137" i="7"/>
  <c r="P137" i="7" s="1"/>
  <c r="Q137" i="7" s="1"/>
  <c r="J137" i="7" s="1"/>
  <c r="U137" i="7"/>
  <c r="N110" i="7"/>
  <c r="P110" i="7" s="1"/>
  <c r="Q110" i="7" s="1"/>
  <c r="J110" i="7" s="1"/>
  <c r="U110" i="7"/>
  <c r="N160" i="7"/>
  <c r="P160" i="7" s="1"/>
  <c r="Q160" i="7" s="1"/>
  <c r="J160" i="7" s="1"/>
  <c r="U160" i="7"/>
  <c r="N66" i="7"/>
  <c r="P66" i="7" s="1"/>
  <c r="Q66" i="7" s="1"/>
  <c r="J66" i="7" s="1"/>
  <c r="U66" i="7"/>
  <c r="N92" i="7"/>
  <c r="P92" i="7" s="1"/>
  <c r="Q92" i="7" s="1"/>
  <c r="J92" i="7" s="1"/>
  <c r="U92" i="7"/>
  <c r="N58" i="7"/>
  <c r="P58" i="7" s="1"/>
  <c r="Q58" i="7" s="1"/>
  <c r="J58" i="7" s="1"/>
  <c r="U58" i="7"/>
  <c r="N166" i="7"/>
  <c r="P166" i="7" s="1"/>
  <c r="Q166" i="7" s="1"/>
  <c r="J166" i="7" s="1"/>
  <c r="K166" i="7" s="1"/>
  <c r="U166" i="7"/>
  <c r="N63" i="7"/>
  <c r="P63" i="7" s="1"/>
  <c r="Q63" i="7" s="1"/>
  <c r="J63" i="7" s="1"/>
  <c r="U63" i="7"/>
  <c r="T85" i="7"/>
  <c r="N29" i="7"/>
  <c r="P29" i="7" s="1"/>
  <c r="Q29" i="7" s="1"/>
  <c r="J29" i="7" s="1"/>
  <c r="U29" i="7"/>
  <c r="N147" i="7"/>
  <c r="P147" i="7" s="1"/>
  <c r="Q147" i="7" s="1"/>
  <c r="J147" i="7" s="1"/>
  <c r="U147" i="7"/>
  <c r="N158" i="7"/>
  <c r="P158" i="7" s="1"/>
  <c r="Q158" i="7" s="1"/>
  <c r="J158" i="7" s="1"/>
  <c r="U158" i="7"/>
  <c r="N148" i="7"/>
  <c r="P148" i="7" s="1"/>
  <c r="Q148" i="7" s="1"/>
  <c r="J148" i="7" s="1"/>
  <c r="K148" i="7" s="1"/>
  <c r="U148" i="7"/>
  <c r="N115" i="7"/>
  <c r="P115" i="7" s="1"/>
  <c r="Q115" i="7" s="1"/>
  <c r="J115" i="7" s="1"/>
  <c r="U115" i="7"/>
  <c r="N72" i="7"/>
  <c r="P72" i="7" s="1"/>
  <c r="Q72" i="7" s="1"/>
  <c r="J72" i="7" s="1"/>
  <c r="U72" i="7"/>
  <c r="N76" i="7"/>
  <c r="P76" i="7" s="1"/>
  <c r="Q76" i="7" s="1"/>
  <c r="J76" i="7" s="1"/>
  <c r="U76" i="7"/>
  <c r="N107" i="7"/>
  <c r="P107" i="7" s="1"/>
  <c r="Q107" i="7" s="1"/>
  <c r="J107" i="7" s="1"/>
  <c r="U107" i="7"/>
  <c r="N101" i="7"/>
  <c r="P101" i="7" s="1"/>
  <c r="Q101" i="7" s="1"/>
  <c r="J101" i="7" s="1"/>
  <c r="U101" i="7"/>
  <c r="N149" i="7"/>
  <c r="P149" i="7" s="1"/>
  <c r="Q149" i="7" s="1"/>
  <c r="J149" i="7" s="1"/>
  <c r="U149" i="7"/>
  <c r="N106" i="7"/>
  <c r="P106" i="7" s="1"/>
  <c r="Q106" i="7" s="1"/>
  <c r="J106" i="7" s="1"/>
  <c r="K106" i="7" s="1"/>
  <c r="U106" i="7"/>
  <c r="N93" i="7"/>
  <c r="P93" i="7" s="1"/>
  <c r="Q93" i="7" s="1"/>
  <c r="J93" i="7" s="1"/>
  <c r="U93" i="7"/>
  <c r="T151" i="7"/>
  <c r="N78" i="7"/>
  <c r="P78" i="7" s="1"/>
  <c r="Q78" i="7" s="1"/>
  <c r="J78" i="7" s="1"/>
  <c r="U78" i="7"/>
  <c r="N169" i="7"/>
  <c r="P169" i="7" s="1"/>
  <c r="Q169" i="7" s="1"/>
  <c r="J169" i="7" s="1"/>
  <c r="U169" i="7"/>
  <c r="T45" i="7"/>
  <c r="N60" i="7"/>
  <c r="P60" i="7" s="1"/>
  <c r="Q60" i="7" s="1"/>
  <c r="J60" i="7" s="1"/>
  <c r="K60" i="7" s="1"/>
  <c r="U60" i="7"/>
  <c r="T95" i="7"/>
  <c r="N67" i="7"/>
  <c r="P67" i="7" s="1"/>
  <c r="Q67" i="7" s="1"/>
  <c r="J67" i="7" s="1"/>
  <c r="K67" i="7" s="1"/>
  <c r="U67" i="7"/>
  <c r="N177" i="7"/>
  <c r="P177" i="7" s="1"/>
  <c r="Q177" i="7" s="1"/>
  <c r="J177" i="7" s="1"/>
  <c r="U177" i="7"/>
  <c r="N132" i="7"/>
  <c r="P132" i="7" s="1"/>
  <c r="Q132" i="7" s="1"/>
  <c r="J132" i="7" s="1"/>
  <c r="U132" i="7"/>
  <c r="N34" i="7"/>
  <c r="P34" i="7" s="1"/>
  <c r="Q34" i="7" s="1"/>
  <c r="J34" i="7" s="1"/>
  <c r="U34" i="7"/>
  <c r="N68" i="7"/>
  <c r="P68" i="7" s="1"/>
  <c r="Q68" i="7" s="1"/>
  <c r="J68" i="7" s="1"/>
  <c r="U68" i="7"/>
  <c r="N130" i="7"/>
  <c r="P130" i="7" s="1"/>
  <c r="Q130" i="7" s="1"/>
  <c r="J130" i="7" s="1"/>
  <c r="U130" i="7"/>
  <c r="N136" i="7"/>
  <c r="P136" i="7" s="1"/>
  <c r="Q136" i="7" s="1"/>
  <c r="J136" i="7" s="1"/>
  <c r="U136" i="7"/>
  <c r="N142" i="7"/>
  <c r="P142" i="7" s="1"/>
  <c r="Q142" i="7" s="1"/>
  <c r="J142" i="7" s="1"/>
  <c r="K142" i="7" s="1"/>
  <c r="U142" i="7"/>
  <c r="N157" i="7"/>
  <c r="P157" i="7" s="1"/>
  <c r="Q157" i="7" s="1"/>
  <c r="J157" i="7" s="1"/>
  <c r="U157" i="7"/>
  <c r="N102" i="7"/>
  <c r="P102" i="7" s="1"/>
  <c r="Q102" i="7" s="1"/>
  <c r="J102" i="7" s="1"/>
  <c r="U102" i="7"/>
  <c r="N74" i="7"/>
  <c r="P74" i="7" s="1"/>
  <c r="Q74" i="7" s="1"/>
  <c r="J74" i="7" s="1"/>
  <c r="U74" i="7"/>
  <c r="N69" i="7"/>
  <c r="P69" i="7" s="1"/>
  <c r="Q69" i="7" s="1"/>
  <c r="J69" i="7" s="1"/>
  <c r="U69" i="7"/>
  <c r="N62" i="7"/>
  <c r="P62" i="7" s="1"/>
  <c r="Q62" i="7" s="1"/>
  <c r="J62" i="7" s="1"/>
  <c r="U62" i="7"/>
  <c r="N65" i="7"/>
  <c r="P65" i="7" s="1"/>
  <c r="Q65" i="7" s="1"/>
  <c r="J65" i="7" s="1"/>
  <c r="K65" i="7" s="1"/>
  <c r="U65" i="7"/>
  <c r="U2" i="4"/>
  <c r="T10" i="7"/>
  <c r="N141" i="7"/>
  <c r="P141" i="7" s="1"/>
  <c r="Q141" i="7" s="1"/>
  <c r="J141" i="7" s="1"/>
  <c r="U141" i="7"/>
  <c r="N120" i="7"/>
  <c r="P120" i="7" s="1"/>
  <c r="Q120" i="7" s="1"/>
  <c r="J120" i="7" s="1"/>
  <c r="U120" i="7"/>
  <c r="N152" i="7"/>
  <c r="P152" i="7" s="1"/>
  <c r="Q152" i="7" s="1"/>
  <c r="J152" i="7" s="1"/>
  <c r="U152" i="7"/>
  <c r="N153" i="7"/>
  <c r="P153" i="7" s="1"/>
  <c r="Q153" i="7" s="1"/>
  <c r="J153" i="7" s="1"/>
  <c r="U153" i="7"/>
  <c r="N70" i="7"/>
  <c r="P70" i="7" s="1"/>
  <c r="Q70" i="7" s="1"/>
  <c r="J70" i="7" s="1"/>
  <c r="U70" i="7"/>
  <c r="N53" i="7"/>
  <c r="P53" i="7" s="1"/>
  <c r="Q53" i="7" s="1"/>
  <c r="J53" i="7" s="1"/>
  <c r="U53" i="7"/>
  <c r="N105" i="7"/>
  <c r="P105" i="7" s="1"/>
  <c r="Q105" i="7" s="1"/>
  <c r="J105" i="7" s="1"/>
  <c r="U105" i="7"/>
  <c r="T109" i="7"/>
  <c r="T47" i="7"/>
  <c r="N133" i="7"/>
  <c r="P133" i="7" s="1"/>
  <c r="Q133" i="7" s="1"/>
  <c r="J133" i="7" s="1"/>
  <c r="K133" i="7" s="1"/>
  <c r="U133" i="7"/>
  <c r="N104" i="7"/>
  <c r="P104" i="7" s="1"/>
  <c r="Q104" i="7" s="1"/>
  <c r="J104" i="7" s="1"/>
  <c r="U104" i="7"/>
  <c r="N50" i="7"/>
  <c r="P50" i="7" s="1"/>
  <c r="Q50" i="7" s="1"/>
  <c r="J50" i="7" s="1"/>
  <c r="U50" i="7"/>
  <c r="N111" i="7"/>
  <c r="P111" i="7" s="1"/>
  <c r="Q111" i="7" s="1"/>
  <c r="J111" i="7" s="1"/>
  <c r="U111" i="7"/>
  <c r="N86" i="7"/>
  <c r="P86" i="7" s="1"/>
  <c r="Q86" i="7" s="1"/>
  <c r="J86" i="7" s="1"/>
  <c r="U86" i="7"/>
  <c r="N89" i="7"/>
  <c r="P89" i="7" s="1"/>
  <c r="Q89" i="7" s="1"/>
  <c r="J89" i="7" s="1"/>
  <c r="U89" i="7"/>
  <c r="N73" i="7"/>
  <c r="P73" i="7" s="1"/>
  <c r="Q73" i="7" s="1"/>
  <c r="J73" i="7" s="1"/>
  <c r="U73" i="7"/>
  <c r="N135" i="7"/>
  <c r="P135" i="7" s="1"/>
  <c r="Q135" i="7" s="1"/>
  <c r="J135" i="7" s="1"/>
  <c r="U135" i="7"/>
  <c r="N90" i="7"/>
  <c r="P90" i="7" s="1"/>
  <c r="Q90" i="7" s="1"/>
  <c r="J90" i="7" s="1"/>
  <c r="U90" i="7"/>
  <c r="N127" i="7"/>
  <c r="P127" i="7" s="1"/>
  <c r="Q127" i="7" s="1"/>
  <c r="J127" i="7" s="1"/>
  <c r="U127" i="7"/>
  <c r="N175" i="7"/>
  <c r="P175" i="7" s="1"/>
  <c r="Q175" i="7" s="1"/>
  <c r="J175" i="7" s="1"/>
  <c r="U175" i="7"/>
  <c r="N54" i="7"/>
  <c r="P54" i="7" s="1"/>
  <c r="Q54" i="7" s="1"/>
  <c r="J54" i="7" s="1"/>
  <c r="K54" i="7" s="1"/>
  <c r="U54" i="7"/>
  <c r="N61" i="7"/>
  <c r="P61" i="7" s="1"/>
  <c r="Q61" i="7" s="1"/>
  <c r="J61" i="7" s="1"/>
  <c r="U61" i="7"/>
  <c r="N59" i="7"/>
  <c r="P59" i="7" s="1"/>
  <c r="Q59" i="7" s="1"/>
  <c r="J59" i="7" s="1"/>
  <c r="K59" i="7" s="1"/>
  <c r="U59" i="7"/>
  <c r="N138" i="7"/>
  <c r="P138" i="7" s="1"/>
  <c r="Q138" i="7" s="1"/>
  <c r="J138" i="7" s="1"/>
  <c r="U138" i="7"/>
  <c r="N155" i="7"/>
  <c r="P155" i="7" s="1"/>
  <c r="Q155" i="7" s="1"/>
  <c r="J155" i="7" s="1"/>
  <c r="U155" i="7"/>
  <c r="N80" i="7"/>
  <c r="P80" i="7" s="1"/>
  <c r="Q80" i="7" s="1"/>
  <c r="J80" i="7" s="1"/>
  <c r="K80" i="7" s="1"/>
  <c r="U80" i="7"/>
  <c r="N46" i="7"/>
  <c r="P46" i="7" s="1"/>
  <c r="Q46" i="7" s="1"/>
  <c r="J46" i="7" s="1"/>
  <c r="U46" i="7"/>
  <c r="N42" i="7"/>
  <c r="P42" i="7" s="1"/>
  <c r="Q42" i="7" s="1"/>
  <c r="J42" i="7" s="1"/>
  <c r="U42" i="7"/>
  <c r="T57" i="7"/>
  <c r="U49" i="4"/>
  <c r="N134" i="7"/>
  <c r="P134" i="7" s="1"/>
  <c r="Q134" i="7" s="1"/>
  <c r="J134" i="7" s="1"/>
  <c r="K134" i="7" s="1"/>
  <c r="U134" i="7"/>
  <c r="N150" i="7"/>
  <c r="P150" i="7" s="1"/>
  <c r="Q150" i="7" s="1"/>
  <c r="J150" i="7" s="1"/>
  <c r="U150" i="7"/>
  <c r="N31" i="7"/>
  <c r="P31" i="7" s="1"/>
  <c r="Q31" i="7" s="1"/>
  <c r="J31" i="7" s="1"/>
  <c r="U31" i="7"/>
  <c r="K4" i="4"/>
  <c r="L4" i="4" s="1"/>
  <c r="M4" i="4" s="1"/>
  <c r="N41" i="7" l="1"/>
  <c r="P41" i="7" s="1"/>
  <c r="Q41" i="7" s="1"/>
  <c r="J41" i="7" s="1"/>
  <c r="U140" i="7"/>
  <c r="U43" i="7"/>
  <c r="P182" i="7"/>
  <c r="Q182" i="7" s="1"/>
  <c r="J182" i="7" s="1"/>
  <c r="N123" i="7"/>
  <c r="P123" i="7" s="1"/>
  <c r="Q123" i="7" s="1"/>
  <c r="J123" i="7" s="1"/>
  <c r="K123" i="7" s="1"/>
  <c r="U125" i="7"/>
  <c r="N75" i="7"/>
  <c r="P75" i="7" s="1"/>
  <c r="Q75" i="7" s="1"/>
  <c r="J75" i="7" s="1"/>
  <c r="U131" i="7"/>
  <c r="N13" i="7"/>
  <c r="P13" i="7" s="1"/>
  <c r="Q13" i="7" s="1"/>
  <c r="J13" i="7" s="1"/>
  <c r="K13" i="7" s="1"/>
  <c r="U146" i="7"/>
  <c r="N44" i="7"/>
  <c r="P44" i="7" s="1"/>
  <c r="Q44" i="7" s="1"/>
  <c r="J44" i="7" s="1"/>
  <c r="K44" i="7" s="1"/>
  <c r="N35" i="7"/>
  <c r="P35" i="7" s="1"/>
  <c r="Q35" i="7" s="1"/>
  <c r="J35" i="7" s="1"/>
  <c r="U40" i="7"/>
  <c r="N51" i="7"/>
  <c r="P51" i="7" s="1"/>
  <c r="Q51" i="7" s="1"/>
  <c r="J51" i="7" s="1"/>
  <c r="U176" i="7"/>
  <c r="N98" i="7"/>
  <c r="P98" i="7" s="1"/>
  <c r="Q98" i="7" s="1"/>
  <c r="J98" i="7" s="1"/>
  <c r="N57" i="7"/>
  <c r="P57" i="7" s="1"/>
  <c r="Q57" i="7" s="1"/>
  <c r="J57" i="7" s="1"/>
  <c r="U57" i="7"/>
  <c r="N45" i="7"/>
  <c r="P45" i="7" s="1"/>
  <c r="Q45" i="7" s="1"/>
  <c r="J45" i="7" s="1"/>
  <c r="U45" i="7"/>
  <c r="N85" i="7"/>
  <c r="P85" i="7" s="1"/>
  <c r="Q85" i="7" s="1"/>
  <c r="J85" i="7" s="1"/>
  <c r="U85" i="7"/>
  <c r="N47" i="7"/>
  <c r="P47" i="7" s="1"/>
  <c r="Q47" i="7" s="1"/>
  <c r="J47" i="7" s="1"/>
  <c r="U47" i="7"/>
  <c r="U10" i="7"/>
  <c r="N10" i="7" s="1"/>
  <c r="P10" i="7" s="1"/>
  <c r="N151" i="7"/>
  <c r="P151" i="7" s="1"/>
  <c r="Q151" i="7" s="1"/>
  <c r="J151" i="7" s="1"/>
  <c r="U151" i="7"/>
  <c r="N95" i="7"/>
  <c r="P95" i="7" s="1"/>
  <c r="Q95" i="7" s="1"/>
  <c r="J95" i="7" s="1"/>
  <c r="U95" i="7"/>
  <c r="N109" i="7"/>
  <c r="P109" i="7" s="1"/>
  <c r="Q109" i="7" s="1"/>
  <c r="J109" i="7" s="1"/>
  <c r="U109" i="7"/>
  <c r="T173" i="7"/>
  <c r="T174" i="7"/>
  <c r="N4" i="4"/>
  <c r="D2" i="1"/>
  <c r="B2" i="1" s="1"/>
  <c r="D4" i="1"/>
  <c r="B4" i="1" s="1"/>
  <c r="D5" i="1"/>
  <c r="B5" i="1" s="1"/>
  <c r="D6" i="1"/>
  <c r="B6" i="1" s="1"/>
  <c r="D7" i="1"/>
  <c r="B7" i="1" s="1"/>
  <c r="D8" i="1"/>
  <c r="B8" i="1" s="1"/>
  <c r="D9" i="1"/>
  <c r="B9" i="1" s="1"/>
  <c r="D10" i="1"/>
  <c r="B10" i="1" s="1"/>
  <c r="D11" i="1"/>
  <c r="B11" i="1" s="1"/>
  <c r="D12" i="1"/>
  <c r="B12" i="1" s="1"/>
  <c r="D13" i="1"/>
  <c r="B13" i="1" s="1"/>
  <c r="D14" i="1"/>
  <c r="B14" i="1" s="1"/>
  <c r="D15" i="1"/>
  <c r="B15" i="1" s="1"/>
  <c r="D16" i="1"/>
  <c r="B16" i="1" s="1"/>
  <c r="D17" i="1"/>
  <c r="B17" i="1" s="1"/>
  <c r="D18" i="1"/>
  <c r="B18" i="1" s="1"/>
  <c r="D19" i="1"/>
  <c r="B19" i="1" s="1"/>
  <c r="D20" i="1"/>
  <c r="B20" i="1" s="1"/>
  <c r="D21" i="1"/>
  <c r="B21" i="1" s="1"/>
  <c r="D22" i="1"/>
  <c r="B22" i="1" s="1"/>
  <c r="D23" i="1"/>
  <c r="B23" i="1" s="1"/>
  <c r="D24" i="1"/>
  <c r="B24" i="1" s="1"/>
  <c r="D25" i="1"/>
  <c r="B25" i="1" s="1"/>
  <c r="D26" i="1"/>
  <c r="B26" i="1" s="1"/>
  <c r="D27" i="1"/>
  <c r="B27" i="1" s="1"/>
  <c r="D28" i="1"/>
  <c r="B28" i="1" s="1"/>
  <c r="D29" i="1"/>
  <c r="B29" i="1" s="1"/>
  <c r="D30" i="1"/>
  <c r="B30" i="1" s="1"/>
  <c r="D31" i="1"/>
  <c r="B31" i="1" s="1"/>
  <c r="D32" i="1"/>
  <c r="B32" i="1" s="1"/>
  <c r="D33" i="1"/>
  <c r="B33" i="1" s="1"/>
  <c r="D34" i="1"/>
  <c r="B34" i="1" s="1"/>
  <c r="D35" i="1"/>
  <c r="B35" i="1" s="1"/>
  <c r="D36" i="1"/>
  <c r="B36" i="1" s="1"/>
  <c r="D37" i="1"/>
  <c r="B37" i="1" s="1"/>
  <c r="D39" i="1"/>
  <c r="B39" i="1" s="1"/>
  <c r="D40" i="1"/>
  <c r="B40" i="1" s="1"/>
  <c r="D41" i="1"/>
  <c r="B41" i="1" s="1"/>
  <c r="D42" i="1"/>
  <c r="B42" i="1" s="1"/>
  <c r="D43" i="1"/>
  <c r="B43" i="1" s="1"/>
  <c r="D44" i="1"/>
  <c r="B44" i="1" s="1"/>
  <c r="D45" i="1"/>
  <c r="B45" i="1" s="1"/>
  <c r="D46" i="1"/>
  <c r="B46" i="1" s="1"/>
  <c r="D47" i="1"/>
  <c r="B47" i="1" s="1"/>
  <c r="D48" i="1"/>
  <c r="B48" i="1" s="1"/>
  <c r="D49" i="1"/>
  <c r="B49" i="1" s="1"/>
  <c r="D50" i="1"/>
  <c r="B50" i="1" s="1"/>
  <c r="D51" i="1"/>
  <c r="B51" i="1" s="1"/>
  <c r="D52" i="1"/>
  <c r="B52" i="1" s="1"/>
  <c r="D53" i="1"/>
  <c r="B53" i="1" s="1"/>
  <c r="D54" i="1"/>
  <c r="B54" i="1" s="1"/>
  <c r="D55" i="1"/>
  <c r="B55" i="1" s="1"/>
  <c r="D56" i="1"/>
  <c r="B56" i="1" s="1"/>
  <c r="D57" i="1"/>
  <c r="B57" i="1" s="1"/>
  <c r="D58" i="1"/>
  <c r="B58" i="1" s="1"/>
  <c r="D59" i="1"/>
  <c r="B59" i="1" s="1"/>
  <c r="D60" i="1"/>
  <c r="B60" i="1" s="1"/>
  <c r="D61" i="1"/>
  <c r="B61" i="1" s="1"/>
  <c r="D62" i="1"/>
  <c r="B62" i="1" s="1"/>
  <c r="D63" i="1"/>
  <c r="B63" i="1" s="1"/>
  <c r="D64" i="1"/>
  <c r="B64" i="1" s="1"/>
  <c r="D65" i="1"/>
  <c r="B65" i="1" s="1"/>
  <c r="D66" i="1"/>
  <c r="B66" i="1" s="1"/>
  <c r="D67" i="1"/>
  <c r="B67" i="1" s="1"/>
  <c r="D68" i="1"/>
  <c r="B68" i="1" s="1"/>
  <c r="D69" i="1"/>
  <c r="B69" i="1" s="1"/>
  <c r="D70" i="1"/>
  <c r="B70" i="1" s="1"/>
  <c r="D71" i="1"/>
  <c r="B71" i="1" s="1"/>
  <c r="D72" i="1"/>
  <c r="B72" i="1" s="1"/>
  <c r="D73" i="1"/>
  <c r="B73" i="1" s="1"/>
  <c r="D74" i="1"/>
  <c r="B74" i="1" s="1"/>
  <c r="D75" i="1"/>
  <c r="B75" i="1" s="1"/>
  <c r="D76" i="1"/>
  <c r="B76" i="1" s="1"/>
  <c r="D77" i="1"/>
  <c r="D78" i="1"/>
  <c r="B78" i="1" s="1"/>
  <c r="D79" i="1"/>
  <c r="B79" i="1" s="1"/>
  <c r="D80" i="1"/>
  <c r="B80" i="1" s="1"/>
  <c r="D81" i="1"/>
  <c r="B81" i="1" s="1"/>
  <c r="D82" i="1"/>
  <c r="B82" i="1" s="1"/>
  <c r="D83" i="1"/>
  <c r="B83" i="1" s="1"/>
  <c r="D84" i="1"/>
  <c r="B84" i="1" s="1"/>
  <c r="D85" i="1"/>
  <c r="B85" i="1" s="1"/>
  <c r="D86" i="1"/>
  <c r="B86" i="1" s="1"/>
  <c r="D87" i="1"/>
  <c r="B87" i="1" s="1"/>
  <c r="D88" i="1"/>
  <c r="B88" i="1" s="1"/>
  <c r="D89" i="1"/>
  <c r="B89" i="1" s="1"/>
  <c r="D90" i="1"/>
  <c r="B90" i="1" s="1"/>
  <c r="D91" i="1"/>
  <c r="B91" i="1" s="1"/>
  <c r="D92" i="1"/>
  <c r="B92" i="1" s="1"/>
  <c r="D93" i="1"/>
  <c r="B93" i="1" s="1"/>
  <c r="D94" i="1"/>
  <c r="B94" i="1" s="1"/>
  <c r="D95" i="1"/>
  <c r="B95" i="1" s="1"/>
  <c r="D96" i="1"/>
  <c r="B96" i="1" s="1"/>
  <c r="D97" i="1"/>
  <c r="B97" i="1" s="1"/>
  <c r="D98" i="1"/>
  <c r="B98" i="1" s="1"/>
  <c r="D99" i="1"/>
  <c r="B99" i="1" s="1"/>
  <c r="D100" i="1"/>
  <c r="B100" i="1" s="1"/>
  <c r="D101" i="1"/>
  <c r="B101" i="1" s="1"/>
  <c r="D102" i="1"/>
  <c r="B102" i="1" s="1"/>
  <c r="D103" i="1"/>
  <c r="B103" i="1" s="1"/>
  <c r="D104" i="1"/>
  <c r="B104" i="1" s="1"/>
  <c r="D105" i="1"/>
  <c r="B105" i="1" s="1"/>
  <c r="D106" i="1"/>
  <c r="B106" i="1" s="1"/>
  <c r="D107" i="1"/>
  <c r="B107" i="1" s="1"/>
  <c r="D108" i="1"/>
  <c r="B108" i="1" s="1"/>
  <c r="D109" i="1"/>
  <c r="B109" i="1" s="1"/>
  <c r="D110" i="1"/>
  <c r="B110" i="1" s="1"/>
  <c r="D111" i="1"/>
  <c r="B111" i="1" s="1"/>
  <c r="D112" i="1"/>
  <c r="B112" i="1" s="1"/>
  <c r="D113" i="1"/>
  <c r="B113" i="1" s="1"/>
  <c r="D114" i="1"/>
  <c r="B114" i="1" s="1"/>
  <c r="D115" i="1"/>
  <c r="B115" i="1" s="1"/>
  <c r="D116" i="1"/>
  <c r="B116" i="1" s="1"/>
  <c r="D117" i="1"/>
  <c r="B117" i="1" s="1"/>
  <c r="D118" i="1"/>
  <c r="B118" i="1" s="1"/>
  <c r="D119" i="1"/>
  <c r="B119" i="1" s="1"/>
  <c r="D120" i="1"/>
  <c r="B120" i="1" s="1"/>
  <c r="D121" i="1"/>
  <c r="B121" i="1" s="1"/>
  <c r="D122" i="1"/>
  <c r="B122" i="1" s="1"/>
  <c r="D123" i="1"/>
  <c r="B123" i="1" s="1"/>
  <c r="D124" i="1"/>
  <c r="B124" i="1" s="1"/>
  <c r="D125" i="1"/>
  <c r="B125" i="1" s="1"/>
  <c r="D126" i="1"/>
  <c r="B126" i="1" s="1"/>
  <c r="D127" i="1"/>
  <c r="B127" i="1" s="1"/>
  <c r="D128" i="1"/>
  <c r="B128" i="1" s="1"/>
  <c r="D129" i="1"/>
  <c r="B129" i="1" s="1"/>
  <c r="D130" i="1"/>
  <c r="B130" i="1" s="1"/>
  <c r="D131" i="1"/>
  <c r="B131" i="1" s="1"/>
  <c r="D132" i="1"/>
  <c r="B132" i="1" s="1"/>
  <c r="D133" i="1"/>
  <c r="B133" i="1" s="1"/>
  <c r="D134" i="1"/>
  <c r="B134" i="1" s="1"/>
  <c r="D135" i="1"/>
  <c r="B135" i="1" s="1"/>
  <c r="D136" i="1"/>
  <c r="B136" i="1" s="1"/>
  <c r="D137" i="1"/>
  <c r="B137" i="1" s="1"/>
  <c r="D138" i="1"/>
  <c r="B138" i="1" s="1"/>
  <c r="D139" i="1"/>
  <c r="B139" i="1" s="1"/>
  <c r="D140" i="1"/>
  <c r="B140" i="1" s="1"/>
  <c r="D141" i="1"/>
  <c r="B141" i="1" s="1"/>
  <c r="D142" i="1"/>
  <c r="D143" i="1"/>
  <c r="B143" i="1" s="1"/>
  <c r="D144" i="1"/>
  <c r="B144" i="1" s="1"/>
  <c r="D145" i="1"/>
  <c r="B145" i="1" s="1"/>
  <c r="D146" i="1"/>
  <c r="B146" i="1" s="1"/>
  <c r="D147" i="1"/>
  <c r="B147" i="1" s="1"/>
  <c r="D148" i="1"/>
  <c r="B148" i="1" s="1"/>
  <c r="D149" i="1"/>
  <c r="B149" i="1" s="1"/>
  <c r="D150" i="1"/>
  <c r="B150" i="1" s="1"/>
  <c r="D151" i="1"/>
  <c r="B151" i="1" s="1"/>
  <c r="D152" i="1"/>
  <c r="B152" i="1" s="1"/>
  <c r="D153" i="1"/>
  <c r="B153" i="1" s="1"/>
  <c r="D154" i="1"/>
  <c r="B154" i="1" s="1"/>
  <c r="D155" i="1"/>
  <c r="B155" i="1" s="1"/>
  <c r="D156" i="1"/>
  <c r="B156" i="1" s="1"/>
  <c r="D3" i="1"/>
  <c r="B3" i="1" s="1"/>
  <c r="Q10" i="7" l="1"/>
  <c r="J10" i="7" s="1"/>
  <c r="N174" i="7"/>
  <c r="P174" i="7" s="1"/>
  <c r="Q174" i="7" s="1"/>
  <c r="J174" i="7" s="1"/>
  <c r="U174" i="7"/>
  <c r="N173" i="7"/>
  <c r="P173" i="7" s="1"/>
  <c r="Q173" i="7" s="1"/>
  <c r="J173" i="7" s="1"/>
  <c r="U173" i="7"/>
  <c r="R33" i="7"/>
  <c r="S33" i="7" s="1"/>
  <c r="O4" i="4"/>
  <c r="R12" i="7"/>
  <c r="S12" i="7" s="1"/>
  <c r="P4" i="4" l="1"/>
  <c r="T4" i="4"/>
  <c r="U4" i="4" s="1"/>
  <c r="T33" i="7"/>
  <c r="T12" i="7" l="1"/>
  <c r="N12" i="7" s="1"/>
  <c r="P12" i="7" s="1"/>
  <c r="Q12" i="7" s="1"/>
  <c r="J12" i="7" s="1"/>
  <c r="N33" i="7"/>
  <c r="P33" i="7" s="1"/>
  <c r="Q33" i="7" s="1"/>
  <c r="J33" i="7" s="1"/>
  <c r="U33" i="7"/>
  <c r="U1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Denizhan Duran</author>
  </authors>
  <commentList>
    <comment ref="L9" authorId="0" shapeId="0" xr:uid="{819028BB-250B-1F45-B89D-10B5D543057E}">
      <text>
        <r>
          <rPr>
            <b/>
            <sz val="10"/>
            <color rgb="FF000000"/>
            <rFont val="Tahoma"/>
            <family val="2"/>
          </rPr>
          <t>Denizhan Duran:</t>
        </r>
        <r>
          <rPr>
            <sz val="10"/>
            <color rgb="FF000000"/>
            <rFont val="Tahoma"/>
            <family val="2"/>
          </rPr>
          <t xml:space="preserve">
</t>
        </r>
        <r>
          <rPr>
            <sz val="10"/>
            <color rgb="FF000000"/>
            <rFont val="Tahoma"/>
            <family val="2"/>
          </rPr>
          <t xml:space="preserve">yellow: from Zim sheet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Denizhan Duran</author>
  </authors>
  <commentList>
    <comment ref="M1" authorId="0" shapeId="0" xr:uid="{DD78CA96-7552-4045-AED1-BDC2DC24F75A}">
      <text>
        <r>
          <rPr>
            <b/>
            <sz val="10"/>
            <color rgb="FF000000"/>
            <rFont val="Tahoma"/>
            <family val="2"/>
          </rPr>
          <t>Denizhan Duran:</t>
        </r>
        <r>
          <rPr>
            <sz val="10"/>
            <color rgb="FF000000"/>
            <rFont val="Tahoma"/>
            <family val="2"/>
          </rPr>
          <t xml:space="preserve">
</t>
        </r>
        <r>
          <rPr>
            <sz val="10"/>
            <color rgb="FF000000"/>
            <rFont val="Tahoma"/>
            <family val="2"/>
          </rPr>
          <t>Local cost data if highlighted</t>
        </r>
      </text>
    </comment>
    <comment ref="Q1" authorId="0" shapeId="0" xr:uid="{B812C3C9-895D-7348-8DBF-35B18A6D14C4}">
      <text>
        <r>
          <rPr>
            <b/>
            <sz val="10"/>
            <color rgb="FF000000"/>
            <rFont val="Tahoma"/>
            <family val="2"/>
          </rPr>
          <t>Denizhan Duran:</t>
        </r>
        <r>
          <rPr>
            <sz val="10"/>
            <color rgb="FF000000"/>
            <rFont val="Tahoma"/>
            <family val="2"/>
          </rPr>
          <t xml:space="preserve">
</t>
        </r>
        <r>
          <rPr>
            <sz val="10"/>
            <color rgb="FF000000"/>
            <rFont val="Tahoma"/>
            <family val="2"/>
          </rPr>
          <t>International data if highlighted</t>
        </r>
      </text>
    </comment>
    <comment ref="R13" authorId="0" shapeId="0" xr:uid="{E25D9FC9-4E82-C742-82BF-3233775CB793}">
      <text>
        <r>
          <rPr>
            <b/>
            <sz val="10"/>
            <color rgb="FF000000"/>
            <rFont val="Tahoma"/>
            <family val="2"/>
          </rPr>
          <t>Denizhan Duran:</t>
        </r>
        <r>
          <rPr>
            <sz val="10"/>
            <color rgb="FF000000"/>
            <rFont val="Tahoma"/>
            <family val="2"/>
          </rPr>
          <t xml:space="preserve">
</t>
        </r>
        <r>
          <rPr>
            <sz val="10"/>
            <color rgb="FF000000"/>
            <rFont val="Tahoma"/>
            <family val="2"/>
          </rPr>
          <t>HPV recently launched</t>
        </r>
      </text>
    </comment>
    <comment ref="R16" authorId="0" shapeId="0" xr:uid="{64C1CEEA-5A52-1648-AA42-6BA4A42BAD73}">
      <text>
        <r>
          <rPr>
            <b/>
            <sz val="10"/>
            <color rgb="FF000000"/>
            <rFont val="Tahoma"/>
            <family val="2"/>
          </rPr>
          <t>Denizhan Duran:</t>
        </r>
        <r>
          <rPr>
            <sz val="10"/>
            <color rgb="FF000000"/>
            <rFont val="Tahoma"/>
            <family val="2"/>
          </rPr>
          <t xml:space="preserve">
</t>
        </r>
        <r>
          <rPr>
            <sz val="10"/>
            <color rgb="FF000000"/>
            <rFont val="Tahoma"/>
            <family val="2"/>
          </rPr>
          <t>Going up from SP1 to SP3</t>
        </r>
      </text>
    </comment>
    <comment ref="E32" authorId="0" shapeId="0" xr:uid="{7607E148-F5B3-EB40-96ED-17B28961D8EF}">
      <text>
        <r>
          <rPr>
            <b/>
            <sz val="10"/>
            <color rgb="FF000000"/>
            <rFont val="Tahoma"/>
            <family val="2"/>
          </rPr>
          <t>Denizhan Duran:</t>
        </r>
        <r>
          <rPr>
            <sz val="10"/>
            <color rgb="FF000000"/>
            <rFont val="Tahoma"/>
            <family val="2"/>
          </rPr>
          <t xml:space="preserve">
</t>
        </r>
        <r>
          <rPr>
            <sz val="10"/>
            <color rgb="FF000000"/>
            <rFont val="Tahoma"/>
            <family val="2"/>
          </rPr>
          <t xml:space="preserve">What is the difference between this and mass drug admin? Not sure if this intervention is accurate given the costs </t>
        </r>
      </text>
    </comment>
    <comment ref="Q121" authorId="0" shapeId="0" xr:uid="{423CFCFF-9E05-5E4A-8926-8B3F56E4A2AE}">
      <text>
        <r>
          <rPr>
            <b/>
            <sz val="10"/>
            <color rgb="FF000000"/>
            <rFont val="Tahoma"/>
            <family val="2"/>
          </rPr>
          <t>Denizhan Duran:</t>
        </r>
        <r>
          <rPr>
            <sz val="10"/>
            <color rgb="FF000000"/>
            <rFont val="Tahoma"/>
            <family val="2"/>
          </rPr>
          <t xml:space="preserve">
</t>
        </r>
        <r>
          <rPr>
            <sz val="10"/>
            <color rgb="FF000000"/>
            <rFont val="Tahoma"/>
            <family val="2"/>
          </rPr>
          <t>modify to see how many ppl actually receive nets in a year?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4" authorId="0" shapeId="0" xr:uid="{6F60D7FD-E95A-CA48-8637-9075A6BBBAEE}">
      <text>
        <r>
          <rPr>
            <b/>
            <sz val="10"/>
            <color rgb="FF000000"/>
            <rFont val="Calibri"/>
            <family val="2"/>
          </rPr>
          <t>Microsoft Office User:</t>
        </r>
        <r>
          <rPr>
            <sz val="10"/>
            <color rgb="FF000000"/>
            <rFont val="Calibri"/>
            <family val="2"/>
          </rPr>
          <t xml:space="preserve">
</t>
        </r>
        <r>
          <rPr>
            <sz val="10"/>
            <color rgb="FF000000"/>
            <rFont val="Calibri"/>
            <family val="2"/>
          </rPr>
          <t>Lower respiratory infections (apply % that will be pneumonia)</t>
        </r>
      </text>
    </comment>
    <comment ref="D5" authorId="0" shapeId="0" xr:uid="{327D8774-9168-0F44-8414-995D10681730}">
      <text>
        <r>
          <rPr>
            <b/>
            <sz val="10"/>
            <color rgb="FF000000"/>
            <rFont val="Calibri"/>
            <family val="2"/>
          </rPr>
          <t>Microsoft Office User:</t>
        </r>
        <r>
          <rPr>
            <sz val="10"/>
            <color rgb="FF000000"/>
            <rFont val="Calibri"/>
            <family val="2"/>
          </rPr>
          <t xml:space="preserve">
</t>
        </r>
        <r>
          <rPr>
            <sz val="10"/>
            <color rgb="FF000000"/>
            <rFont val="Calibri"/>
            <family val="2"/>
          </rPr>
          <t>Note that only a very small minority of diarrheal deaths are caused by rotavirus. Look for % of all deaths caused by diarrheoa</t>
        </r>
      </text>
    </comment>
    <comment ref="D7" authorId="0" shapeId="0" xr:uid="{BF29CB1C-D050-D84C-AB56-40538BEC467D}">
      <text>
        <r>
          <rPr>
            <b/>
            <sz val="10"/>
            <color rgb="FF000000"/>
            <rFont val="Calibri"/>
            <family val="2"/>
          </rPr>
          <t>Microsoft Office User:</t>
        </r>
        <r>
          <rPr>
            <sz val="10"/>
            <color rgb="FF000000"/>
            <rFont val="Calibri"/>
            <family val="2"/>
          </rPr>
          <t xml:space="preserve">
</t>
        </r>
        <r>
          <rPr>
            <sz val="10"/>
            <color rgb="FF000000"/>
            <rFont val="Calibri"/>
            <family val="2"/>
          </rPr>
          <t>Vitamin A, and Other nutritional deficiency</t>
        </r>
      </text>
    </comment>
    <comment ref="D15" authorId="0" shapeId="0" xr:uid="{A477C867-EB23-554C-9B7F-E111ABD41109}">
      <text>
        <r>
          <rPr>
            <b/>
            <sz val="10"/>
            <color rgb="FF000000"/>
            <rFont val="Calibri"/>
            <family val="2"/>
          </rPr>
          <t>Microsoft Office User:</t>
        </r>
        <r>
          <rPr>
            <sz val="10"/>
            <color rgb="FF000000"/>
            <rFont val="Calibri"/>
            <family val="2"/>
          </rPr>
          <t xml:space="preserve">
</t>
        </r>
        <r>
          <rPr>
            <sz val="10"/>
            <color rgb="FF000000"/>
            <rFont val="Calibri"/>
            <family val="2"/>
          </rPr>
          <t>Consider addition of maternal deaths as a secondary outcome (via reduction of unintended pregnancies)</t>
        </r>
      </text>
    </comment>
  </commentList>
</comments>
</file>

<file path=xl/sharedStrings.xml><?xml version="1.0" encoding="utf-8"?>
<sst xmlns="http://schemas.openxmlformats.org/spreadsheetml/2006/main" count="9166" uniqueCount="2344">
  <si>
    <t>Active</t>
  </si>
  <si>
    <t>Short name</t>
  </si>
  <si>
    <t>Platform</t>
  </si>
  <si>
    <t>Causes of burden (max coverage)</t>
  </si>
  <si>
    <t>ICER</t>
  </si>
  <si>
    <t>Unit cost</t>
  </si>
  <si>
    <t>Spending</t>
  </si>
  <si>
    <t>FRP</t>
  </si>
  <si>
    <t>Equity</t>
  </si>
  <si>
    <t>Acute asthma and COPD management</t>
  </si>
  <si>
    <t>First-level Hospital</t>
  </si>
  <si>
    <t>Chronic obstructive pulmonary disease: 0.004; Asthma: 0.004</t>
  </si>
  <si>
    <t>Acute critical limb ischemia management</t>
  </si>
  <si>
    <t>Other cardiovascular and circulatory diseases: 0.101</t>
  </si>
  <si>
    <t>Acute management of swallowing dysfunction</t>
  </si>
  <si>
    <t>Other vision loss: 0.05</t>
  </si>
  <si>
    <t>Acute severe malnutrition management</t>
  </si>
  <si>
    <t>Community</t>
  </si>
  <si>
    <t>Nutritional deficiencies: 0.119</t>
  </si>
  <si>
    <t>Acute ventilatory failure management</t>
  </si>
  <si>
    <t>Referral and Specialty Hospital</t>
  </si>
  <si>
    <t>Asthma: 0.05; Chronic obstructive pulmonary disease: 0.05</t>
  </si>
  <si>
    <t>Adolescent-friendly services for STIs</t>
  </si>
  <si>
    <t>Sexually transmitted diseases excluding HIV: 0.001; Self-harm and interpersonal violence: 0.001</t>
  </si>
  <si>
    <t>Antenatal and postpartum education</t>
  </si>
  <si>
    <t>Maternal disorders: 0.025; Neonatal disorders: 0.025</t>
  </si>
  <si>
    <t>Appendectomy</t>
  </si>
  <si>
    <t>Appendicitis: 0.357</t>
  </si>
  <si>
    <t>ART care for PLHIV</t>
  </si>
  <si>
    <t>Health Center</t>
  </si>
  <si>
    <t>HIV/AIDS: 0.029</t>
  </si>
  <si>
    <t>Aspirin for acute myocardial infarction</t>
  </si>
  <si>
    <t>Ischemic heart disease: 0.05</t>
  </si>
  <si>
    <t>Assisted vaginal delivery</t>
  </si>
  <si>
    <t>Maternal obstructed labor and uterine rupture: 0.457</t>
  </si>
  <si>
    <t>Basic management of MNIs and disorders</t>
  </si>
  <si>
    <t>Musculoskeletal disorders: 0.002; Neurological disorders: 0.002</t>
  </si>
  <si>
    <t>Basic skin grafting</t>
  </si>
  <si>
    <t>Fire, heat, and hot substances: 0.161</t>
  </si>
  <si>
    <t>BEmNOC</t>
  </si>
  <si>
    <t>Maternal disorders: 0.051; Neonatal disorders: 0.051</t>
  </si>
  <si>
    <t>Bipolar disorder management</t>
  </si>
  <si>
    <t>Bipolar disorder: 0.04</t>
  </si>
  <si>
    <t>Bowel obstruction management</t>
  </si>
  <si>
    <t>Other digestive diseases: 0.049</t>
  </si>
  <si>
    <t>Burr hole</t>
  </si>
  <si>
    <t>Care for fractures</t>
  </si>
  <si>
    <t>Transport injuries: 0.1; Falls: 0.1; Forces of nature, conflict and terrorism, and executions and police conflict: 0.1; Physical violence by firearm: 0.1; Physical violence by other means: 0.1; Physical violence by sharp object: 0.1</t>
  </si>
  <si>
    <t>Care for hypertensive disorders in pregnancy</t>
  </si>
  <si>
    <t>Maternal hypertensive disorders: 0.05</t>
  </si>
  <si>
    <t>Care for neonatal sepsis, pneumonia, meningitis</t>
  </si>
  <si>
    <t>Neonatal sepsis and other neonatal infections: 0.05; Meningitis: 0.05</t>
  </si>
  <si>
    <t>Care for severe childhood infections</t>
  </si>
  <si>
    <t>Nutritional deficiencies: 0.013; Malaria: 0.013; Measles: 0.013; Diarrheal diseases: 0.013; Lower respiratory infections: 0.013; Upper respiratory infections: 0.013</t>
  </si>
  <si>
    <t>Case detection strategies for malaria</t>
  </si>
  <si>
    <t>Malaria: 0.05</t>
  </si>
  <si>
    <t>Cataract extraction</t>
  </si>
  <si>
    <t>Cataract: 0.05</t>
  </si>
  <si>
    <t>Childhood vaccination series</t>
  </si>
  <si>
    <t>Diphtheria: 0.146; Whooping cough: 0.146; Tetanus: 0.146; Tuberculosis: 0.146; Measles: 0.146; Acute hepatitis B: 0.146; Cirrhosis and other chronic liver diseases due to hepatitis B: 0.146; Liver cancer due to hepatitis B: 0.146; H influenzae type B meningitis: 0.146</t>
  </si>
  <si>
    <t>Colostomy</t>
  </si>
  <si>
    <t>Colon and rectum cancer: 0.002; Transport injuries: 0.002; Falls: 0.002; Forces of nature, conflict and terrorism, and executions and police conflict: 0.002; Physical violence by firearm: 0.002; Physical violence by other means: 0.002; Physical violence by sharp object: 0.002</t>
  </si>
  <si>
    <t>Community-based HIV services</t>
  </si>
  <si>
    <t>HIV/AIDS: 0.503</t>
  </si>
  <si>
    <t>Compression therapy</t>
  </si>
  <si>
    <t>Fire, heat, and hot substances: 0.1</t>
  </si>
  <si>
    <t>Condoms and hormonal contraceptives</t>
  </si>
  <si>
    <t>HIV/AIDS: 0.012; Sexually transmitted diseases excluding HIV: 0.012</t>
  </si>
  <si>
    <t>Cotrimoxazole for children</t>
  </si>
  <si>
    <t>HIV/AIDS: 0.05</t>
  </si>
  <si>
    <t>Counseling on kangaroo care for newborns</t>
  </si>
  <si>
    <t>Other neonatal disorders: 0.014</t>
  </si>
  <si>
    <t>Counseling on providing thermal care</t>
  </si>
  <si>
    <t>Decentralize antivirals</t>
  </si>
  <si>
    <t>Population-based Health Interventions</t>
  </si>
  <si>
    <t>Dental extraction</t>
  </si>
  <si>
    <t>Oral disorders: 0.03</t>
  </si>
  <si>
    <t>Diabetes screening and care for at-risk adults</t>
  </si>
  <si>
    <t>Diabetes mellitus: 0.236</t>
  </si>
  <si>
    <t>Diabetes screening and care in pregnancy</t>
  </si>
  <si>
    <t>Diabetes mellitus: 0.05</t>
  </si>
  <si>
    <t>Diagnosis of and treatment of malaria</t>
  </si>
  <si>
    <t>Malaria: 0.228</t>
  </si>
  <si>
    <t xml:space="preserve">Diagnosis of TB and first-line treatment </t>
  </si>
  <si>
    <t>Drug-susceptible tuberculosis: 0.015; Multidrug-resistant tuberculosis without extensive drug resistance: 0.015; HIV-AIDS - Drug-susceptible Tuberculosis: 0.015; HIV/AIDS - Multidrug-resistant Tuberculosis without extensive drug resistance: 0.015</t>
  </si>
  <si>
    <t>Drainage of dental abscess</t>
  </si>
  <si>
    <t>Drainage of superficial abscess</t>
  </si>
  <si>
    <t>Skin and subcutaneous diseases: 0.05</t>
  </si>
  <si>
    <t>Eclampsia management</t>
  </si>
  <si>
    <t>Maternal hypertensive disorders: 0.482</t>
  </si>
  <si>
    <t>Education campaigns on GBV</t>
  </si>
  <si>
    <t>Interpersonal violence: 0.05</t>
  </si>
  <si>
    <t>Education on hygiene</t>
  </si>
  <si>
    <t>Diarrheal diseases: 0.014</t>
  </si>
  <si>
    <t>Elective surgery for orthopedic injuries</t>
  </si>
  <si>
    <t>Transport injuries: 0.05; Falls: 0.05; Forces of nature, conflict and terrorism, and executions and police conflict: 0.05; Physical violence by firearm: 0.05; Physical violence by other means: 0.05; Physical violence by sharp object: 0.05</t>
  </si>
  <si>
    <t>Epilepsy management</t>
  </si>
  <si>
    <t>Epilepsy: 0.4</t>
  </si>
  <si>
    <t>Escharotomy or fasciotomy</t>
  </si>
  <si>
    <t>Fire, heat, and hot substances: 0.05</t>
  </si>
  <si>
    <t>Essential palliative care</t>
  </si>
  <si>
    <t>Expedited treatment for common STIs</t>
  </si>
  <si>
    <t>HIV/AIDS: 0.002; Sexually transmitted diseases excluding HIV: 0.002</t>
  </si>
  <si>
    <t>Fever management for clinically stable</t>
  </si>
  <si>
    <t>Malaria: 0.134; HIV/AIDS and tuberculosis: 0.134; Chronic obstructive pulmonary disease: 0.134; Sexually transmitted diseases excluding HIV: 0.134; Diarrheal diseases: 0.134; Rheumatic heart disease: 0.134; Diphtheria: 0.134; Tetanus: 0.134; Lymphatic filariasis: 0.134</t>
  </si>
  <si>
    <t>Fever management for clinically unstable</t>
  </si>
  <si>
    <t>Malaria: 0.012; HIV/AIDS and tuberculosis: 0.012; Chronic obstructive pulmonary disease: 0.012; Sexually transmitted diseases excluding HIV: 0.012; Diarrheal diseases: 0.012; Rheumatic heart disease: 0.012; Diphtheria: 0.012; Tetanus: 0.012; Lymphatic filariasis: 0.012</t>
  </si>
  <si>
    <t>Full supportive care for preterm newborns</t>
  </si>
  <si>
    <t>Neonatal preterm birth: 0.05</t>
  </si>
  <si>
    <t>Guidance during infectious outbreak</t>
  </si>
  <si>
    <t>Hepatitis B and C testing and referral</t>
  </si>
  <si>
    <t>Acute hepatitis B: 0.007; Cirrhosis and other chronic liver diseases due to hepatitis B: 0.007; Liver cancer due to hepatitis B: 0.007; Acute hepatitis C: 0.007; Cirrhosis and other chronic liver diseases due to hepatitis C: 0.007; Liver cancer due to hepatitis C: 0.007</t>
  </si>
  <si>
    <t>Hernia repair</t>
  </si>
  <si>
    <t>Inguinal, femoral, and abdominal hernia: 0.176</t>
  </si>
  <si>
    <t>HIV screening and care for active TB patients</t>
  </si>
  <si>
    <t>Hysterectomy</t>
  </si>
  <si>
    <t>Maternal obstructed labor and uterine rupture: 0.183; Maternal hemorrhage: 0.183</t>
  </si>
  <si>
    <t>Identify and refer patients with high risk</t>
  </si>
  <si>
    <t>IHD, stroke and PVD management</t>
  </si>
  <si>
    <t>Ischemic heart disease: 0.018; Peripheral artery disease: 0.018; Stroke: 0.018</t>
  </si>
  <si>
    <t>IHR assessment</t>
  </si>
  <si>
    <t>Individualized interventions</t>
  </si>
  <si>
    <t>Cardiovascular diseases: 0.05; Musculoskeletal disorders: 0.05; Neurological disorders: 0.05</t>
  </si>
  <si>
    <t>Indoor residual spraying</t>
  </si>
  <si>
    <t>Malaria: 0.02</t>
  </si>
  <si>
    <t>Induction of labor post-term</t>
  </si>
  <si>
    <t>Maternal obstructed labor and uterine rupture: 0.141</t>
  </si>
  <si>
    <t>Infection control planning</t>
  </si>
  <si>
    <t>Influenza vaccine security</t>
  </si>
  <si>
    <t xml:space="preserve">Inhaled corticosteroids and bronchodilators </t>
  </si>
  <si>
    <t>Chronic obstructive pulmonary disease: 0.015; Asthma: 0.015</t>
  </si>
  <si>
    <t>Insertion and removal of contraceptives</t>
  </si>
  <si>
    <t>Insertion of shunt for hydrocephalus</t>
  </si>
  <si>
    <t>Stroke: 0.05</t>
  </si>
  <si>
    <t>Integrated community case management</t>
  </si>
  <si>
    <t>Malaria: 0.03; Diarrheal diseases: 0.03; Pneumococcal meningitis: 0.03; Nutritional deficiencies: 0.03</t>
  </si>
  <si>
    <t>Integrated management of childhood illness</t>
  </si>
  <si>
    <t>Nutritional deficiencies: 0.297; Malaria: 0.297; Measles: 0.297; Diarrheal diseases: 0.297; Lower respiratory infections: 0.297; Upper respiratory infections: 0.297</t>
  </si>
  <si>
    <t>Intoxication/poisoning management</t>
  </si>
  <si>
    <t>Alcohol use disorders: 0.012; Drug use disorders: 0.012; Poisonings: 0.012</t>
  </si>
  <si>
    <t>IPT for malaria in pregnancy</t>
  </si>
  <si>
    <t>Malaria: 0.001</t>
  </si>
  <si>
    <t>Iron and folic acid for pregnant women</t>
  </si>
  <si>
    <t>Dietary iron deficiency: 0.202; Other nutritional deficiencies: 0.202</t>
  </si>
  <si>
    <t>Irrigation and debridement of open fractures</t>
  </si>
  <si>
    <t>Isoniazid Preventative Therapy for TB</t>
  </si>
  <si>
    <t>Drug-susceptible tuberculosis: 0.05</t>
  </si>
  <si>
    <t>Jaundice management with phototherapy</t>
  </si>
  <si>
    <t>Hemolytic disease and other neonatal jaundice: 0.05</t>
  </si>
  <si>
    <t>Labor and delivery in high risk women</t>
  </si>
  <si>
    <t>Maternal disorders: 0.05; Neonatal disorders: 0.05</t>
  </si>
  <si>
    <t>Latent-TB screening and IPT for PLHIV</t>
  </si>
  <si>
    <t>Low-risk labor and delivery</t>
  </si>
  <si>
    <t>Maternal disorders: 0.021; Neonatal disorders: 0.021</t>
  </si>
  <si>
    <t>Lymphedema management</t>
  </si>
  <si>
    <t>Lymphatic filariasis: 0.05</t>
  </si>
  <si>
    <t>Management of acute coronary syndromes</t>
  </si>
  <si>
    <t>Ischemic heart disease: 0.05; Stroke: 0.05</t>
  </si>
  <si>
    <t>Management of newborn complications</t>
  </si>
  <si>
    <t>Neonatal disorders: 0.05; Meningitis: 0.05</t>
  </si>
  <si>
    <t>Management of sexual and tract infections</t>
  </si>
  <si>
    <t>Sexually transmitted diseases excluding HIV: 0.208; Urinary tract infections: 0.208</t>
  </si>
  <si>
    <t>Mass drug administration (NTDs)</t>
  </si>
  <si>
    <t>Lymphatic filariasis: 0.05; Onchocerciasis: 0.05; Schistosomiasis: 0.05; Trachoma: 0.05; Food-borne trematodiases: 0.05</t>
  </si>
  <si>
    <t>Mass media for adolescents</t>
  </si>
  <si>
    <t>HIV/AIDS: 0.05; Sexually transmitted diseases excluding HIV: 0.05; Schizophrenia: 0.05; Alcohol use disorders: 0.05; Depressive disorders: 0.05; Bipolar disorder: 0.05; Anxiety disorders: 0.05; Eating disorders: 0.05; Attention-deficit/hyperactivity disorder: 0.05; Conduct disorder: 0.05; Other mental and substance use disorders: 0.05</t>
  </si>
  <si>
    <t>Mass media for alcohol/tobacco</t>
  </si>
  <si>
    <t xml:space="preserve">Alcohol use disorders: 0.149 </t>
  </si>
  <si>
    <t>Mass media for diet/exercise</t>
  </si>
  <si>
    <t>Cardiovascular diseases: 0.016; Diabetes mellitus: 0.016; Chronic kidney disease due to diabetes mellitus: 0.016; Chronic kidney disease due to hypertension: 0.016</t>
  </si>
  <si>
    <t>Mass media for hand washing</t>
  </si>
  <si>
    <t>Diarrheal diseases: 0.001; Stroke: 0.001; Chronic obstructive pulmonary disease: 0.001; Ischemic heart disease: 0.001</t>
  </si>
  <si>
    <t>Mass media for sexual health</t>
  </si>
  <si>
    <t>HIV/AIDS: 0.016; Sexually transmitted diseases excluding HIV: 0.016</t>
  </si>
  <si>
    <t>Maternal sepsis management</t>
  </si>
  <si>
    <t>Maternal sepsis and other maternal infections: 0.132</t>
  </si>
  <si>
    <t>Medical management of acute heart failure</t>
  </si>
  <si>
    <t>Other cardiovascular and circulatory diseases: 0.024</t>
  </si>
  <si>
    <t>Medical management of heart failure</t>
  </si>
  <si>
    <t>Cardiovascular diseases: 0.05</t>
  </si>
  <si>
    <t>Miscarriage and abortions management</t>
  </si>
  <si>
    <t>Maternal abortion, miscarriage, and ectopic pregnancy: 0.345</t>
  </si>
  <si>
    <t xml:space="preserve">Mobilization activities </t>
  </si>
  <si>
    <t>Cardiovascular diseases: 0.05; Transport injuries: 0.05; Forces of nature, conflict and terrorism, and executions and police conflict: 0.05; Physical violence by firearm: 0.05; Physical violence by other means: 0.05; Physical violence by sharp object: 0.05</t>
  </si>
  <si>
    <t>Non-displaced fractures management</t>
  </si>
  <si>
    <t>Transport injuries: 0.031; Falls: 0.031; Forces of nature, conflict and terrorism, and executions and police conflict: 0.031; Physical violence by firearm: 0.031; Physical violence by other means: 0.031; Physical violence by sharp object: 0.031</t>
  </si>
  <si>
    <t>Opportunistic screening for hypertension</t>
  </si>
  <si>
    <t>Hypertensive heart disease: 0.009; Chronic kidney disease due to hypertension: 0.009; Maternal hypertensive disorders: 0.009</t>
  </si>
  <si>
    <t>Osteomyelitis management</t>
  </si>
  <si>
    <t>Other musculoskeletal disorders: 0.168</t>
  </si>
  <si>
    <t>Percutaneous coronary intervention</t>
  </si>
  <si>
    <t>PMTCT of HIV (Option B+) and syphilis</t>
  </si>
  <si>
    <t>HIV/AIDS: 0.05; Syphilis: 0.05</t>
  </si>
  <si>
    <t>Pneumococcus vaccination</t>
  </si>
  <si>
    <t>Pneumococcal meningitis: 0.05</t>
  </si>
  <si>
    <t>Post gender-based violence care</t>
  </si>
  <si>
    <t>Depressive disorders: 0.002; Anxiety disorders: 0.002</t>
  </si>
  <si>
    <t>Presumptive treatment of febrile illness</t>
  </si>
  <si>
    <t>Preterm labor management</t>
  </si>
  <si>
    <t>Preterm premature rupture management</t>
  </si>
  <si>
    <t>Prevention and relief of refractory suffering</t>
  </si>
  <si>
    <t>Primaquine first-line malaria treatment</t>
  </si>
  <si>
    <t>Promotion of breastfeeding</t>
  </si>
  <si>
    <t>Nutritional deficiencies: 0.025</t>
  </si>
  <si>
    <t>Provision of condoms</t>
  </si>
  <si>
    <t>HIV/AIDS: 0.001; Sexually transmitted diseases excluding HIV: 0.001</t>
  </si>
  <si>
    <t>Provision of insecticide nets</t>
  </si>
  <si>
    <t>Psychological treatment</t>
  </si>
  <si>
    <t>Anxiety disorders: 0.05; Attention-deficit/hyperactivity disorder: 0.05; Conduct disorder: 0.05</t>
  </si>
  <si>
    <t>Psychosocial support and counseling</t>
  </si>
  <si>
    <t>Depressive disorders: 0.05; Anxiety disorders: 0.05</t>
  </si>
  <si>
    <t>Psycological and antidepressant therapy</t>
  </si>
  <si>
    <t>Depressive disorders: 0.018; Anxiety disorders: 0.018</t>
  </si>
  <si>
    <t>Referral for DST and MDR-TB treatment</t>
  </si>
  <si>
    <t>Multidrug-resistant tuberculosis without extensive drug resistance: 0.029; Extensively drug-resistant tuberculosis: 0.029; HIV/AIDS - Multidrug-resistant Tuberculosis without extensive drug resistance: 0.029; HIV/AIDS - Extensively drug-resistant Tuberculosis: 0.029</t>
  </si>
  <si>
    <t>Referral-level hospital pathology services</t>
  </si>
  <si>
    <t>Refractory febrile illness management</t>
  </si>
  <si>
    <t>Relief of urinary obstruction</t>
  </si>
  <si>
    <t>Urinary diseases and male infertility: 0.196</t>
  </si>
  <si>
    <t>Removal of gallbladder</t>
  </si>
  <si>
    <t>Gallbladder and biliary diseases: 0.126</t>
  </si>
  <si>
    <t>Repair of anorectal malformations</t>
  </si>
  <si>
    <t>Digestive congenital anomalies: 0.05</t>
  </si>
  <si>
    <t>Repair of cleft lip and cleft palate</t>
  </si>
  <si>
    <t>Orofacial clefts: 0.05</t>
  </si>
  <si>
    <t>Repair of club foot</t>
  </si>
  <si>
    <t>Congenital musculoskeletal and limb anomalies: 0.05</t>
  </si>
  <si>
    <t>Repair of obstetric fistula</t>
  </si>
  <si>
    <t>Other maternal disorders: 0.05</t>
  </si>
  <si>
    <t>Repair of perforations</t>
  </si>
  <si>
    <t>Peptic ulcer disease: 0.075; Other digestive diseases: 0.075</t>
  </si>
  <si>
    <t>Resuscitation with advanced measures</t>
  </si>
  <si>
    <t>Retinopathy screening and treatment</t>
  </si>
  <si>
    <t>Review of prosthetics, orthotics, and splints</t>
  </si>
  <si>
    <t>Transport injuries: 0.004; Falls: 0.004; Forces of nature, conflict and terrorism, and executions and police conflict: 0.004; Physical violence by firearm: 0.004; Physical violence by other means: 0.004; Physical violence by sharp object: 0.004</t>
  </si>
  <si>
    <t>Rotavirus vaccination</t>
  </si>
  <si>
    <t>Diarrheal diseases: 0.05</t>
  </si>
  <si>
    <t>Schizophrenia management</t>
  </si>
  <si>
    <t>Schizophrenia: 0.08</t>
  </si>
  <si>
    <t>Secondary prophylaxis for rheumatic fever</t>
  </si>
  <si>
    <t>Rheumatic heart disease: 0.005</t>
  </si>
  <si>
    <t>Self-care interventions for disabilities</t>
  </si>
  <si>
    <t>Musculoskeletal disorders: 0.05</t>
  </si>
  <si>
    <t>Septic arthritis management</t>
  </si>
  <si>
    <t>Other musculoskeletal disorders: 0.166</t>
  </si>
  <si>
    <t>Severe acute malnutrition management</t>
  </si>
  <si>
    <t>Nutritional deficiencies: 0.053</t>
  </si>
  <si>
    <t>Severe malaria management</t>
  </si>
  <si>
    <t>Malaria: 0.017</t>
  </si>
  <si>
    <t>Simulation exercises</t>
  </si>
  <si>
    <t>Specialized TB services</t>
  </si>
  <si>
    <t>Multidrug-resistant tuberculosis without extensive drug resistance: 0.05; Extensively drug-resistant tuberculosis: 0.05; HIV/AIDS - Multidrug-resistant Tuberculosis without extensive drug resistance: 0.05; HIV/AIDS - Extensively drug-resistant Tuberculosis: 0.05</t>
  </si>
  <si>
    <t>Specialty pathology services</t>
  </si>
  <si>
    <t>Surge capacity plan</t>
  </si>
  <si>
    <t>Surgery for ectopic pregnancy</t>
  </si>
  <si>
    <t>Maternal abortion, miscarriage, and ectopic pregnancy: 0.079</t>
  </si>
  <si>
    <t>Surgery for trachomatous trichiasis</t>
  </si>
  <si>
    <t>Trachoma: 0.05</t>
  </si>
  <si>
    <t xml:space="preserve">Surgical termination of pregnancy </t>
  </si>
  <si>
    <t>Maternal abortion, miscarriage, and ectopic pregnancy: 0.007</t>
  </si>
  <si>
    <t>Suturing laceration</t>
  </si>
  <si>
    <t>Transport injuries: 0.006; Falls: 0.006; Forces of nature, conflict and terrorism, and executions and police conflict: 0.006; Physical violence by firearm: 0.006; Physical violence by other means: 0.006; Physical violence by sharp object: 0.006</t>
  </si>
  <si>
    <t>TB ACF and linkage to care</t>
  </si>
  <si>
    <t>Tuberculosis: 0.05</t>
  </si>
  <si>
    <t>TB contact tracing</t>
  </si>
  <si>
    <t>Tuberculosis: 0.001</t>
  </si>
  <si>
    <t>Testing and counseling for HIV, STIs, hepatitis</t>
  </si>
  <si>
    <t>HIV/AIDS: 0.028; Sexually transmitted diseases excluding HIV: 0.028; Acute hepatitis: 0.028; Maternal deaths aggravated by HIV/AIDS: 0.028</t>
  </si>
  <si>
    <t>Tetanus toxoid immunization</t>
  </si>
  <si>
    <t>Tetanus: 0.018</t>
  </si>
  <si>
    <t>Therapy for moderate to severe arthritis</t>
  </si>
  <si>
    <t>Rheumatoid arthritis: 0.179</t>
  </si>
  <si>
    <t>Trauma laparotomy</t>
  </si>
  <si>
    <t>Trauma-related amputations</t>
  </si>
  <si>
    <t>Transport injuries: 0.032; Falls: 0.032; Forces of nature, conflict and terrorism, and executions and police conflict: 0.032; Physical violence by firearm: 0.032; Physical violence by other means: 0.032; Physical violence by sharp object: 0.032</t>
  </si>
  <si>
    <t>Treatment eligibility for hepatitis B and C</t>
  </si>
  <si>
    <t>Acute hepatitis B: 0.007; Cirrhosis and other chronic liver diseases due to hepatitis B: 0.3; Liver cancer due to hepatitis B: 0.007; Acute hepatitis C: 0.007; Cirrhosis and other chronic liver diseases due to hepatitis C: 0.007; Liver cancer due to hepatitis C: 0.007</t>
  </si>
  <si>
    <t>Treatment of caries</t>
  </si>
  <si>
    <t>Caries of deciduous teeth: 0.186; Caries of permanent teeth: 0.186</t>
  </si>
  <si>
    <t>Treatment of early-stage childhood cancers</t>
  </si>
  <si>
    <t>Non-Hodgkin lymphoma: 0.05; Hodgkin lymphoma: 0.05; Acute lymphoid leukemia: 0.05</t>
  </si>
  <si>
    <t>Treatment of neonatal pneumonia</t>
  </si>
  <si>
    <t>Neonatal sepsis and other neonatal infections: 0.272</t>
  </si>
  <si>
    <t>Tubal ligation</t>
  </si>
  <si>
    <t>Tube thoracostomy</t>
  </si>
  <si>
    <t>Transport injuries: 0.009; Falls: 0.009; Forces of nature, conflict and terrorism, and executions and police conflict: 0.009; Physical violence by firearm: 0.009; Physical violence by other means: 0.009; Physical violence by sharp object: 0.009</t>
  </si>
  <si>
    <t>Urgent surgery for orthopedic injuries</t>
  </si>
  <si>
    <t>Vasectomy</t>
  </si>
  <si>
    <t>Vitamin A and zinc for children</t>
  </si>
  <si>
    <t>Neonatal disorders: 0.059</t>
  </si>
  <si>
    <t>WASH behavior change interventions</t>
  </si>
  <si>
    <t>Diarrheal diseases: 0.024</t>
  </si>
  <si>
    <t>Long name</t>
  </si>
  <si>
    <t>Code</t>
  </si>
  <si>
    <t>French name</t>
  </si>
  <si>
    <t>shortname</t>
  </si>
  <si>
    <t>fullname</t>
  </si>
  <si>
    <t>platform</t>
  </si>
  <si>
    <t>cause</t>
  </si>
  <si>
    <t>icer</t>
  </si>
  <si>
    <t>unitcost</t>
  </si>
  <si>
    <t>frp</t>
  </si>
  <si>
    <t>equity</t>
  </si>
  <si>
    <t>Conduct a comprehensive assessment of International Health Regulations (IHR) competencies using the Joint External Evaluation tool and develop, cost, finance and implement an action plan to address gaps in preparedness and response</t>
  </si>
  <si>
    <t>Conduct simulation exercises and health worker training for outbreak events including outbreak investigation, contact tracing and emergency response</t>
  </si>
  <si>
    <t>Decentralize stocks of anti viral medications in order to reach at-risk groups and disadvantaged populations</t>
  </si>
  <si>
    <t xml:space="preserve">Develop and implement a plan to ensure surge capacity in hospital beds, stockpiles of disinfectants, equipment for supportive care, and personal protective equipment </t>
  </si>
  <si>
    <t>Develop plans and legal standards for curtailing interactions between infected persons and uninfected population and implement and evaluate infection control measures in health facilities</t>
  </si>
  <si>
    <t>Ensure influenza vaccine security at national and subnational level</t>
  </si>
  <si>
    <t xml:space="preserve">Mass media encouraging use of condoms, voluntary medical male circumcision, and STI testing </t>
  </si>
  <si>
    <t>HIV/AIDS</t>
  </si>
  <si>
    <t>Mass media messages concerning awareness on handwashing and health effects of household air pollution</t>
  </si>
  <si>
    <t>Mass media messages concerning healthy eating or physical activity</t>
  </si>
  <si>
    <t>Non-communicable diseases</t>
  </si>
  <si>
    <t>Mass media messages concerning sexual and reproductive health and mental health for adolescents</t>
  </si>
  <si>
    <t>Mass media messages concerning use of tobacco and alcohol</t>
  </si>
  <si>
    <t>Non-malaria vector management</t>
  </si>
  <si>
    <t xml:space="preserve">Sustained vector management for Chagas disease, visceral leishmaniasis, dengue, and other nationally important causes of nonmalarial fever </t>
  </si>
  <si>
    <t>Neglected tropical diseases and malaria</t>
  </si>
  <si>
    <t>Systematic identification of individuals with TB symptoms among high-risk groups and linkage to care (“active case finding”)</t>
  </si>
  <si>
    <t>Tuberculosis</t>
  </si>
  <si>
    <t>Adolescent-friendly health services including: provision of condoms to prevent STIs; provision of reversible contraception; treatment of injury in general and abuse in particular; and screening and treatment for STIs</t>
  </si>
  <si>
    <t>Antenatal and postpartum education on family planning</t>
  </si>
  <si>
    <t>Cardiac and pulmonary rehabilitation</t>
  </si>
  <si>
    <t>Cardiac and pulmonary rehabilitation programs</t>
  </si>
  <si>
    <t>Childhood vaccination series (diptheria, pertussis, tetanus, polio, BCG, measles, hepatitis B, Hib, rubella)</t>
  </si>
  <si>
    <t>Communicable, maternal, neonatal, and nutritional diseases</t>
  </si>
  <si>
    <t>Community-based HIV testing and counseling (for example, mobile units and venue-based testing), with appropriate referral or linkage to care and immediate initiation of lifelong ART</t>
  </si>
  <si>
    <t xml:space="preserve">Environmental management for malaria </t>
  </si>
  <si>
    <t>Conduct larviciding and water-management programs in high malaria transmission areas where mosquito breeding sites can be identified and regularly targeted</t>
  </si>
  <si>
    <t>Malaria</t>
  </si>
  <si>
    <t>Counseling of mothers on providing thermal care for preterm newborns (delayed bath and skin-to-skin contact)</t>
  </si>
  <si>
    <t>Neonatal preterm birth complications</t>
  </si>
  <si>
    <t>Detection and management of acute severe malnutrition and referral in the presence of complications</t>
  </si>
  <si>
    <t>Nutritional deficiencies</t>
  </si>
  <si>
    <t>Detection and treatment of childhood infections (iCCM), including referral if danger signs</t>
  </si>
  <si>
    <t>ECD rehabilitation interventions</t>
  </si>
  <si>
    <t xml:space="preserve">Early childhood development rehabilitation interventions, including motor, sensory, and language stimulation </t>
  </si>
  <si>
    <t>Early detection and treatment of NTDs</t>
  </si>
  <si>
    <t>Early detection and treatment of Chagas disease, human African trypanosomiasis, leprosy, and leishmaniases</t>
  </si>
  <si>
    <t>Identification of lead poisoning</t>
  </si>
  <si>
    <t>Early identification of lead poisoning and counseling of families in remediation strategies for sources of environmental exposure</t>
  </si>
  <si>
    <t>Education campaigns for the prevention of gender-based violence</t>
  </si>
  <si>
    <t>Interpersonal violence</t>
  </si>
  <si>
    <t>Education of schoolchildren on oral health</t>
  </si>
  <si>
    <t>Caries of permanent teeth</t>
  </si>
  <si>
    <t>Education on handwashing and safe disposal of children's stools</t>
  </si>
  <si>
    <t>Diarrheal diseases</t>
  </si>
  <si>
    <t>Exercise-based pulmonary rehabilitation</t>
  </si>
  <si>
    <t>Exercise-based pulmonary rehabilitation for patients with obstructive lung disease</t>
  </si>
  <si>
    <t>Chronic respiratory diseases</t>
  </si>
  <si>
    <t>Test for G6PD deficiency</t>
  </si>
  <si>
    <t>For malaria due to P. vivax, test for G6PD deficiency; if normal, add chloroquine or chloroquine plus 14-day course of primaquine</t>
  </si>
  <si>
    <t>Functional interventions for self-care for individuals with disabilities</t>
  </si>
  <si>
    <t>HIV education and counseling</t>
  </si>
  <si>
    <t>HIV education and counseling for pregnant women, sex workers, people who inject drugs, men who have sex with men, and transgender individuals, and PLHIV and their partners</t>
  </si>
  <si>
    <t>Household HIV testing and counseling</t>
  </si>
  <si>
    <t>Household HIV testing and counseling in high-prevalence settings, with appropriate referral or linkage to care and immediate initiation of lifelong ART</t>
  </si>
  <si>
    <t xml:space="preserve">Identify and refer patients with high risk including pregnant women, young children, and those with underlying medical conditions </t>
  </si>
  <si>
    <t>In all malaria-endemic countries, diagnosis with rapid test or microscopy (including speciation) followed by treatment with ACTs (or current first-line combination)</t>
  </si>
  <si>
    <t xml:space="preserve">Prevention of FGM </t>
  </si>
  <si>
    <t>In countries where it is a public health concern, prevention of FGM (may be for daughters of women of reproductive age)</t>
  </si>
  <si>
    <t>In high malaria transmission settings where rapid tests and microscopy are unavailable, presumptive treatment of febrile illness with ACTs (non-severe cases) or ACTs plus antibiotics (severe cases)</t>
  </si>
  <si>
    <t>In high malaria transmission settings, indoor residual spraying (IRS) in selected areas with high transmission and entomologic data on IRS suspectibility</t>
  </si>
  <si>
    <t>IPT for malaria in infancy</t>
  </si>
  <si>
    <t>In high malaria transmission settings, intermittent preventive treatment in infancy (except where seasonal malaria chemoprophylaxis is being provided)</t>
  </si>
  <si>
    <t>In high malaria transmission settings, intermittent preventive treatment in pregnancy</t>
  </si>
  <si>
    <t>In low malaria transmision settings, addition of single low-dose primaquine to first-line treatment</t>
  </si>
  <si>
    <t>In low malaria transmission settings, case investigation, reactive case detection, proactive case detection (including mass screening and treatment)</t>
  </si>
  <si>
    <t>In the context of an emerging infectious outbreak, provide advice and guidance on how to recognize early symptoms and signs and when to seek medical attention</t>
  </si>
  <si>
    <t>Seasonal malaria chemoprophylaxis</t>
  </si>
  <si>
    <t>In the Sahel region, seasonal malaria chemoprophylaxis</t>
  </si>
  <si>
    <t xml:space="preserve">Individualized environmental modifications </t>
  </si>
  <si>
    <t xml:space="preserve">Individualized environmental modifications (for example, adaptations to a house) </t>
  </si>
  <si>
    <t xml:space="preserve">Life skills training in schools </t>
  </si>
  <si>
    <t>Life skills training in schools to build social and emotional competencies</t>
  </si>
  <si>
    <t>Management of labor and delivery in low risk women by skilled attendants, including basic neonatal resuscitation following delivery</t>
  </si>
  <si>
    <t>Neonatal disorders</t>
  </si>
  <si>
    <t>Management of lymphedema</t>
  </si>
  <si>
    <t>Mass drug administration for lymphatic filariasis, onchocerciasis, schistosomiasis, soil-transmitted helminthiases and trachoma, and foodborne trematode infections</t>
  </si>
  <si>
    <t>Mass drug administration (malaria)</t>
  </si>
  <si>
    <t>Mass drug administration in low malaria transmission settings (including high-risk groups in geographic or demographic clusters)</t>
  </si>
  <si>
    <t>Mass marketing of insecticide nets</t>
  </si>
  <si>
    <t>Mass social marketing of insecticide treated nets</t>
  </si>
  <si>
    <t>Parent training for high-risk families</t>
  </si>
  <si>
    <t>Parent training for high-risk families, including nurse home visitation for child maltreatment</t>
  </si>
  <si>
    <t>Interventions for wheelchair users</t>
  </si>
  <si>
    <t>Pressure area prevention and supportive seating interventions for wheelchair users</t>
  </si>
  <si>
    <t>Promotion of breastfeeding or complementary feeding by lay health workers</t>
  </si>
  <si>
    <t>Basic assistive products</t>
  </si>
  <si>
    <t>Provision and training in the use of basic assistive products (such as canes, braille displays, and other aides) and compensatory strategies needed to communicate and perform activities of daily living</t>
  </si>
  <si>
    <t>Provision of condoms to key populations, including sex workers, men who have sex with men, people who inject drugs, transgender populations, and prisoners</t>
  </si>
  <si>
    <t>Provision of cotrimoxazole to children born to HIV-positive mothers</t>
  </si>
  <si>
    <t>Harm reduction services for PWID</t>
  </si>
  <si>
    <t>Provision of harm reduction services such as safe injection equipment and opioid substitution therapy to people who inject drugs</t>
  </si>
  <si>
    <t>Opioid use disorders</t>
  </si>
  <si>
    <t>Provision of iron and folic acid supplementation to pregnant women, and provision of food or caloric supplementation to pregnant women in food insecure households</t>
  </si>
  <si>
    <t>Provision of vitamin A and zinc supplementation to children according to WHO guidelines, and provision of food supplementation to women and children in food insecure households</t>
  </si>
  <si>
    <t>Routine contact tracing to identify individuals exposed to TB and link them to care</t>
  </si>
  <si>
    <t>School based HPV vaccination for girls</t>
  </si>
  <si>
    <t>Cervical cancer</t>
  </si>
  <si>
    <t>School-based education on health</t>
  </si>
  <si>
    <t>School-based education on sexual health, nutrition, and healthy lifestyle</t>
  </si>
  <si>
    <t>Self-managed treatment of migraine</t>
  </si>
  <si>
    <t>Migraine</t>
  </si>
  <si>
    <t>Tetanus toxoid immunization among schoolchildren and among women attending antenatal care</t>
  </si>
  <si>
    <t>Tetanus</t>
  </si>
  <si>
    <t>Treatment for yaws</t>
  </si>
  <si>
    <t>Total Community Treatment for yaws</t>
  </si>
  <si>
    <t>Training and retraining for speech</t>
  </si>
  <si>
    <t>Training and retraining for disorders of speech, swallowing, communication, and cognition</t>
  </si>
  <si>
    <t>Training, retraining, and exercise programs</t>
  </si>
  <si>
    <t>Training, retraining, and exercise programs that address musculoskeletal injuries and disorders, including chronic low back and neck pain</t>
  </si>
  <si>
    <t>Vision prescreening, tests and glasses</t>
  </si>
  <si>
    <t>Vision prescreening by teachers; vision tests and provision of ready-made glasses on-site by eye specialists</t>
  </si>
  <si>
    <t>Refraction and accommodation disorders</t>
  </si>
  <si>
    <t>WASH behavior change interventions, such as community-led total sanitation</t>
  </si>
  <si>
    <t>Among all individuals who are known to be HIV positive, immediate ART initiation with regular monitoring of viral load for adherence and development of resistance</t>
  </si>
  <si>
    <t>Flu and pneumococcal vaccinations</t>
  </si>
  <si>
    <t xml:space="preserve">Annual flu vaccination and pneumococcal vaccine every five years for individuals with underlying lung disease </t>
  </si>
  <si>
    <t>Hepatitis B vaccination</t>
  </si>
  <si>
    <t>As resources permit, hepatitis B vaccination of high-risk populations, including healthcare workers, PWID, MSM, household contacts, and persons with multiple sex partners</t>
  </si>
  <si>
    <t>Liver cancer due to hepatitis B</t>
  </si>
  <si>
    <t>Basic management of musculoskeletal and neurological injuries and disorders, such as prescription of simple exercises and sling or cast provision</t>
  </si>
  <si>
    <t>Primary prevention of osteoporosis</t>
  </si>
  <si>
    <t>Calcium and vitamin D supplementation for primary prevention of osteoporosis in high-risk individuals</t>
  </si>
  <si>
    <t>Diabetes, urogenital, blood, and endocrine diseases</t>
  </si>
  <si>
    <t>Edentulism and severe tooth loss</t>
  </si>
  <si>
    <t>Detection and treatment of childhood infections with danger signs (IMCI)</t>
  </si>
  <si>
    <t>Cellulitis</t>
  </si>
  <si>
    <t>Early detection and treatment of neonatal pneumonia with oral antibiotics</t>
  </si>
  <si>
    <t>Maternal sepsis and other maternal infections</t>
  </si>
  <si>
    <t>Essential palliative care and pain control measures, including oral immediate release morphine and medicines for associated symptoms</t>
  </si>
  <si>
    <t xml:space="preserve">Evaluation and management of fever in clinically stable individuals using WHO IMAI guidelines, with referral of unstable individuals to first-level hospital care  </t>
  </si>
  <si>
    <t>Exercise programs</t>
  </si>
  <si>
    <t>Exercise programs for upper extremity injuries and disorders</t>
  </si>
  <si>
    <t>Expanded palliative care</t>
  </si>
  <si>
    <t>Expanded palliative care and pain control measures, including prevention and relief of all physical and psychological symptoms of suffering</t>
  </si>
  <si>
    <t>Use of vaccines for endemic infections</t>
  </si>
  <si>
    <t>Focused use of vaccines for endemic infections, such as dengue, JEV, typhoid, meningococcus, and others</t>
  </si>
  <si>
    <t>For individuals testing positive for hepatitis B and C, assessment of treatment eligibility by trained providers followed by initiation and monitoring of antiviral treatment when indicated</t>
  </si>
  <si>
    <t>Hepatitis</t>
  </si>
  <si>
    <t>For PLHIV and children under five who are close contacts or household members of individuals with active TB, perform symptom screening and chest radiograph; if there is no active TB, provide isoniazid preventive therapy according to current WHO guidelines</t>
  </si>
  <si>
    <t>HIV/AIDS and tuberculosis</t>
  </si>
  <si>
    <t>Health center pathology services</t>
  </si>
  <si>
    <t>Hepatitis B and C testing of individuals identified in the national testing policy (based on endemicity and risk level), with appropriate referral of positive individuals to trained providers</t>
  </si>
  <si>
    <t>Identify and refer for progressive illness</t>
  </si>
  <si>
    <t>Identify and refer to higher levels of health care patients with signs of progressive illness</t>
  </si>
  <si>
    <t>Support for caregivers of dementia patients</t>
  </si>
  <si>
    <t>Interventions to support caregivers of patients with dementia</t>
  </si>
  <si>
    <t>Alzheimer disease and other dementias</t>
  </si>
  <si>
    <t>Therapy for CVD risk factors</t>
  </si>
  <si>
    <t>Long-term combination therapy for persons with multiple CVD risk factors, including screening for CVD in community settings using non-lab-based tools to assess overall CVD risk</t>
  </si>
  <si>
    <t>Cardiovascular diseases</t>
  </si>
  <si>
    <t>Low-dose inhaled corticosteroids and bronchodilators for asthma and for selected patients with COPD</t>
  </si>
  <si>
    <t>Asthma</t>
  </si>
  <si>
    <t>Management of bipolar disorder using generic mood-stabilizing medications and psychosocial treatment</t>
  </si>
  <si>
    <t>Bipolar disorder</t>
  </si>
  <si>
    <t>Management of complications following FGM</t>
  </si>
  <si>
    <t>Management of depression and anxiety disorders with psycological and generic antidepressant therapy</t>
  </si>
  <si>
    <t>Depressive disorders</t>
  </si>
  <si>
    <t>Management of epilepsy, including acute stabilization and long-term management with generic anti-epileptics</t>
  </si>
  <si>
    <t>Epilepsy</t>
  </si>
  <si>
    <t>Management of labor and delivery in low risk women (BEmNOC), including initial treatment of obstetric or delivery complications prior to transfer</t>
  </si>
  <si>
    <t>Maternal disorders</t>
  </si>
  <si>
    <t>Management of miscarriage or incomplete abortion and post abortion care</t>
  </si>
  <si>
    <t>Maternal abortion, miscarriage, and ectopic pregnancy</t>
  </si>
  <si>
    <t>Management of non-displaced fractures</t>
  </si>
  <si>
    <t>Injuries</t>
  </si>
  <si>
    <t>Management of preterm premature rupture of membranes, including administration of antibotics</t>
  </si>
  <si>
    <t>Management of schizophrenia using generic anti-psychotic medications and psychosocial treatment</t>
  </si>
  <si>
    <t>Schizophrenia</t>
  </si>
  <si>
    <t>Opportunistic screening for hypertension for all adults and initiation of treatment among individuals with severe hypertension and/or multiple risk factors</t>
  </si>
  <si>
    <t>Partner notification and expedited treatment for common STIs, including HIV</t>
  </si>
  <si>
    <t>Sexually transmitted diseases excluding HIV</t>
  </si>
  <si>
    <t>Post gender-based violence care, including counseling, provision of emergency contraception, and rape-response referral (medical and judicial)</t>
  </si>
  <si>
    <t>PrEP for individuals at high risk of infection</t>
  </si>
  <si>
    <t>PrEP for discordant couples and others at high risk of infection such as commercial sex workers (in high prevalence settings)</t>
  </si>
  <si>
    <t>Provider-initiated testing and counseling for HIV, STIs, and hepatitis, for all in contact with health system in high-prevalence settings, including prenatal care with appropriate referral or linkage to care including immediate ART initiation for those testing positive for HIV</t>
  </si>
  <si>
    <t>Provision of aspirin for all cases of suspected acute myocardial infarction</t>
  </si>
  <si>
    <t>Ischemic heart disease</t>
  </si>
  <si>
    <t>Provision of condoms and hormonal contraceptives, including emergency contraceptives</t>
  </si>
  <si>
    <t>Provision of insecticide-treated nets to children and pregnant women attending health centers</t>
  </si>
  <si>
    <t>Medical male circumcision</t>
  </si>
  <si>
    <t>Provision of voluntary medical male circumcision service in settings with high prevalence of HIV</t>
  </si>
  <si>
    <t>Psychological treatment for mood, anxiety, ADHD, and disruptive behavior disorders</t>
  </si>
  <si>
    <t>Attention-deficit/hyperactivity disorder</t>
  </si>
  <si>
    <t>Psychosocial support and counseling services for individuals with serious, complex, or life-limiting health problems and their caregivers</t>
  </si>
  <si>
    <t>Resuscitation with basic measures</t>
  </si>
  <si>
    <t>Resuscitation with basic life support measures</t>
  </si>
  <si>
    <t>Review of prosthetics, orthotics, and splints, with referral to hospital if indicated</t>
  </si>
  <si>
    <t>Screening and brief alcohol intervention</t>
  </si>
  <si>
    <t>Screening and brief intervention for alcohol use disorders</t>
  </si>
  <si>
    <t>Alcohol use disorders</t>
  </si>
  <si>
    <t>Screening and ACEi or ARBs for kidney disease</t>
  </si>
  <si>
    <t>Screening and management of albuminuric kidney disease with ACEi or ARBs, including targeted screening among people with diabetes</t>
  </si>
  <si>
    <t>Chronic kidney disease</t>
  </si>
  <si>
    <t>Screening and management of diabetes among at-risk adults, including glycemic control, management of blood pressure and lipids, and consistent foot care</t>
  </si>
  <si>
    <t>Diabetes mellitus</t>
  </si>
  <si>
    <t>Screening and management of diabetes in pregnancy (gestational diabetes or preexisting type II diabetes)</t>
  </si>
  <si>
    <t>Congenital birth defects</t>
  </si>
  <si>
    <t>Screening for latent TB infection following a new diagnosis of HIV, followed by yearly screening among PLHIV at high risk of TB exposure; initiation of isoniazid preventive therapy among all individuals who screen positive but do not have evidence of active TB</t>
  </si>
  <si>
    <t>HIV/AIDS - Tuberculosis</t>
  </si>
  <si>
    <t xml:space="preserve">Secondary prophylaxis with penicillin for rheumatic fever or established rheumatic heart disease </t>
  </si>
  <si>
    <t>Rheumatic heart disease</t>
  </si>
  <si>
    <t>Stockpile and AV treatment strategies</t>
  </si>
  <si>
    <t>Stockpile and consider treating early high risk patients with anti viral medications according to nationally endorsed guidelines</t>
  </si>
  <si>
    <t>Syndromic management of common sexual and reproductive tract infections (for example uretheral discharge, genital ulcer, and others) according to WHO guidelines</t>
  </si>
  <si>
    <t>Screening for congenital hearing loss</t>
  </si>
  <si>
    <t>Targeted screening for congenital hearing loss in high-risk children using otoacoustic emissions testing</t>
  </si>
  <si>
    <t>Other congenital birth defects</t>
  </si>
  <si>
    <t>Tobacco cessation counseling</t>
  </si>
  <si>
    <t xml:space="preserve">Tobacco cessation counseling, and use of nicotine replacement therapy in certain circumstances </t>
  </si>
  <si>
    <t>Treatment of acute pharyngitis</t>
  </si>
  <si>
    <t>Treatment of acute pharyngitis in children to prevent rheumatic fever</t>
  </si>
  <si>
    <t>Counseling of mothers on providing kangaroo care for newborns</t>
  </si>
  <si>
    <t>Health Center*</t>
  </si>
  <si>
    <t>Diagnosis of TB, including assessment of rifampicin resistance using rapid molecular diagnostics (UltraXpert), and initiation of first-line treatment per current WHO guidelines for drug-susceptible TB; referral for confirmation, further assessment of drug resistance, and treatment of drug-resistant TB</t>
  </si>
  <si>
    <t>Long term management of ischemic heart disease, stroke, and peripheral vascular disease with aspirin, beta blockers, ACEi, and statins (as indicated) to reduce risk of further events</t>
  </si>
  <si>
    <t>Management of neonatal sepsis, pneumonia, and meningitis using injectable and oral antibiotics</t>
  </si>
  <si>
    <t>Neonatal sepsis and other neonatal infections</t>
  </si>
  <si>
    <t xml:space="preserve">Medical management of heart failure with diuretics, beta-blockers, ACEi, and mineralocorticoid antagonists </t>
  </si>
  <si>
    <t>Cardiomyopathy and myocarditis</t>
  </si>
  <si>
    <t>Opportunistic screening for cervical cancer</t>
  </si>
  <si>
    <t>Opportunistic screening for cervical cancer using visual inspection or HPV DNA testing and treatment of precancerous lesions with cryotherapy</t>
  </si>
  <si>
    <t>Pharmacological termination of pregnancy</t>
  </si>
  <si>
    <t>Screening and management of hypertensive disorders in pregnancy</t>
  </si>
  <si>
    <t>Maternal hypertensive disorders</t>
  </si>
  <si>
    <t>Screening for HIV in all individuals with a diagnosis of active TB; if HIV infection is present, start (or refer for) ARV treatment and HIV care</t>
  </si>
  <si>
    <t>Appendicitis</t>
  </si>
  <si>
    <t>Support in the use of assistive products</t>
  </si>
  <si>
    <t xml:space="preserve">Assessment, provision and training in the use of assistive products, including assistive devices for hearing </t>
  </si>
  <si>
    <t>Assisted vaginal delivery using vacuum extraction or forceps</t>
  </si>
  <si>
    <t>Fire, heat, and hot substances</t>
  </si>
  <si>
    <t>Burr hole to relieve acute elevated intracranial pressure</t>
  </si>
  <si>
    <t>Transport injuries</t>
  </si>
  <si>
    <t>Secondary prevention of osteoporosis</t>
  </si>
  <si>
    <t>Calcium and vitamin D supplementation for secondary prevention of osteoporosis</t>
  </si>
  <si>
    <t>Paralytic ileus and intestinal obstruction</t>
  </si>
  <si>
    <t>Combination therapy, including low-dose corticosteroids and generic disease-modifying antirheumatic drugs (including methotrexate), for individuals with moderate to severe rheumatoid arthritis</t>
  </si>
  <si>
    <t>Rheumatoid arthritis</t>
  </si>
  <si>
    <t>Compression therapy for amputations, burns, and vascular or lymphatic disorders</t>
  </si>
  <si>
    <t>Care for fetal growth restriction</t>
  </si>
  <si>
    <t>Detection and management of fetal growth restriction</t>
  </si>
  <si>
    <t>Care for early-stage cervical cancer</t>
  </si>
  <si>
    <t>Early detection and treatment of early-stage cervical cancer</t>
  </si>
  <si>
    <t>Evaluation and acute management of swallowing dysfunction</t>
  </si>
  <si>
    <t>Evaluation and management of fever in clinically unstable individuals using WHO IMAI guidelines, including empiric parenteral antimicrobials and antimalarials and resuscitative measures for septic shock</t>
  </si>
  <si>
    <t>Fabrication of prosthetics, orthotics, and splints</t>
  </si>
  <si>
    <t>Fabrication, fitting, and training in the use of prosthetics, orthotics, and splints</t>
  </si>
  <si>
    <t>First-level hospital pathology services</t>
  </si>
  <si>
    <t>Fracture reduction and placement of external fixator and use of traction for fractures</t>
  </si>
  <si>
    <t>Full supportive care for severe childhood infections with danger signs</t>
  </si>
  <si>
    <t>Hernia repair including emergency surgery</t>
  </si>
  <si>
    <t>Inguinal, femoral, and abdominal hernia</t>
  </si>
  <si>
    <t>Hysterectomy for uterine rupture or intractable postpartum hemorrhage</t>
  </si>
  <si>
    <t>Maternal hemorrhage</t>
  </si>
  <si>
    <t>Universal newborn screening for sickle cell</t>
  </si>
  <si>
    <t>In settings where sickle cell disease is a public health concern, universal newborn screening followed by standard prophylaxis against bacterial infections and malaria</t>
  </si>
  <si>
    <t>Sickle cell disorders</t>
  </si>
  <si>
    <t>Identification of genetic disorders</t>
  </si>
  <si>
    <t>In settings where specific single-gene disorders are a public health concern (for example, thalassemias), retrospective identification of carriers plus prospective (premarital) screening and counseling to reduce rates of conception</t>
  </si>
  <si>
    <t>Other neonatal disorders</t>
  </si>
  <si>
    <t xml:space="preserve">Initial assessment, and prescription, and provision of individualized interventions for musculoskeletal, cardiopulmonary,  neurological, speech and communication, and cognitive deficits, including training in preparation for discharge </t>
  </si>
  <si>
    <t>Insertion and removal of long-lasting contraceptives</t>
  </si>
  <si>
    <t>Hemolytic disease and other neonatal jaundice</t>
  </si>
  <si>
    <t>Management of acute coronary syndromes with aspirin, unfractionated heparin, and generic thrombolytics (when indicated)</t>
  </si>
  <si>
    <t>Management of acute critical limb ischemia with unfractionated heparin and revascularization where available, with amputation as a last resort</t>
  </si>
  <si>
    <t>Peripheral artery disease</t>
  </si>
  <si>
    <t>Management of acute exacerbations of asthma and COPD using systemic steroids, inhaled beta-agonists, and, if indicated, oral antibiotics and oxygen therapy</t>
  </si>
  <si>
    <t>Chronic obstructive pulmonary disease</t>
  </si>
  <si>
    <t>Management of bowel obstruction</t>
  </si>
  <si>
    <t>Management of eclampsia with magnesium sulfate, including initial stabilization at health centers</t>
  </si>
  <si>
    <t xml:space="preserve">Management of intoxication/poisoning syndromes using widely available agents; e.g., activated charcoal, naloxone, bicarbonate, antivenin </t>
  </si>
  <si>
    <t>Poisonings</t>
  </si>
  <si>
    <t>Management of labor and delivery in high risk women, including operative delivery (CEmNOC)</t>
  </si>
  <si>
    <t>Management of maternal sepsis, including early detection at health centers</t>
  </si>
  <si>
    <t>Management of newborn complications, neonatal meningitis, and other very serious infections requiring continuous supportive care (IV fluids, oxygen, etc.)</t>
  </si>
  <si>
    <t>Management of osteomyelitis, including surgical debridement for refractory cases</t>
  </si>
  <si>
    <t>Management of preterm labor with corticosteroids, including early detection at health centers</t>
  </si>
  <si>
    <t>Management of septic arthritis</t>
  </si>
  <si>
    <t>Management of severe acute malnutrition associated with serious infection</t>
  </si>
  <si>
    <t>Management of severe malaria, including early detection and provision of rectal artesunate in community settings followed by parenteral artesunate and full-course of ACT</t>
  </si>
  <si>
    <t>Mobilization activities following acute injury or illness</t>
  </si>
  <si>
    <t>Prevention and relief of refractory suffering and of acute pain related to surgery, serious injury, or other serious, complex or life-limiting health problems</t>
  </si>
  <si>
    <t>Referral of cases of treatment failure for drug susceptibility testing; enrollment of those with MDR-TB for treatment per WHO guidelines (either short or long regimen)</t>
  </si>
  <si>
    <t>Relief of urinary obstruction by catheterization or suprapubic cystostomy</t>
  </si>
  <si>
    <t>Other urinary diseases</t>
  </si>
  <si>
    <t>Removal of gallbladder including  emergency surgery</t>
  </si>
  <si>
    <t>Gallbladder and biliary diseases</t>
  </si>
  <si>
    <t>Repair of perforations (for example, perforated peptic ulcer, typhoid ileal perforation)</t>
  </si>
  <si>
    <t>Peptic ulcer disease</t>
  </si>
  <si>
    <t>Resuscitation with advanced life support measures, including surgical airway</t>
  </si>
  <si>
    <t>Surgery for filarial hydrocele</t>
  </si>
  <si>
    <t>Lymphatic filariasis</t>
  </si>
  <si>
    <t xml:space="preserve">Surgical termination of pregnancy by manual vacuum aspiration and dilation and curettage </t>
  </si>
  <si>
    <t>Screening for endocrine or metabolic disorders</t>
  </si>
  <si>
    <t>Universal newborn screening for congenital endocrine or metabolic disorders (for example, congenital hypothyroidism, phenylketonuria) that have high incidence rates and for which long-term treatment is feasible in limited resource settings</t>
  </si>
  <si>
    <t>Cataract extraction and insertion of intraocular lens</t>
  </si>
  <si>
    <t>Cataract</t>
  </si>
  <si>
    <t>Elective surgical repair of common orthopedic injuries (for example, meniscal and ligamentous tears) in individuals with severe functional limitation</t>
  </si>
  <si>
    <t>Musculoskeletal disorders</t>
  </si>
  <si>
    <t>Management of acute ventilatory failure due to acute exacerbations of asthma and COPD; in COPD use of bilevel positive airway pressure preferred</t>
  </si>
  <si>
    <t>Management of refractory febrile illness including etiologic diagnosis at reference microbiological laboratory</t>
  </si>
  <si>
    <t>Repair of anorectal malformations and Hirschsprung's Disease</t>
  </si>
  <si>
    <t>Orofacial clefts</t>
  </si>
  <si>
    <t>Retinopathy screening via telemedicine, followed by treatment using laser photocoagulation</t>
  </si>
  <si>
    <t>Specialized TB services, including management of MDR- and XDR-TB treatment failure and surgery for TB</t>
  </si>
  <si>
    <t>Trachoma</t>
  </si>
  <si>
    <t>Treatment of early stage breast cancer</t>
  </si>
  <si>
    <t>Treatment of early stage breast cancer with appropriate multimodal approaches (including generic chemotherapy), with curative intent, for cases that are detected by clinical examination at health centers and first-level hospitals</t>
  </si>
  <si>
    <t>Breast cancer</t>
  </si>
  <si>
    <t>Treatment of early stage colorectal cancer</t>
  </si>
  <si>
    <t>Treatment of early stage colorectal cancer with appropriate multimodal approaches (including generic chemotherapy), with curative intent, for cases that are detected by clinical examination at health centers and first-level hospitals</t>
  </si>
  <si>
    <t>Colon and rectum cancer</t>
  </si>
  <si>
    <t xml:space="preserve">Treatment of early-stage childhood cancers (such as Burkitt and Hodgkin lymphoma, acute lymphoblastic leukemia, retinoblastoma, and Wilms tumor) with curative intent in pediatric cancer units or hospitals </t>
  </si>
  <si>
    <t>Acute lymphoid leukemia</t>
  </si>
  <si>
    <t>Urgent, definitive surgical management of orthopedic injuries (for example, by open reduction and internal fixation)</t>
  </si>
  <si>
    <t>Use of percutaneous coronary intervention for acute myocardial infarction where resources permit</t>
  </si>
  <si>
    <t>DCP3 Intervention Code</t>
  </si>
  <si>
    <t>Intervention Name</t>
  </si>
  <si>
    <t>C1</t>
  </si>
  <si>
    <t>C2</t>
  </si>
  <si>
    <t>C3</t>
  </si>
  <si>
    <t>FLH1</t>
  </si>
  <si>
    <t>FLH2</t>
  </si>
  <si>
    <t>FLH3</t>
  </si>
  <si>
    <t>FLH4</t>
  </si>
  <si>
    <t>FLH5</t>
  </si>
  <si>
    <t>FLH6</t>
  </si>
  <si>
    <t>FLH7</t>
  </si>
  <si>
    <t>HC1</t>
  </si>
  <si>
    <t>HC2</t>
  </si>
  <si>
    <t>HC3</t>
  </si>
  <si>
    <t>HC4</t>
  </si>
  <si>
    <t>HC5</t>
  </si>
  <si>
    <t>HC6</t>
  </si>
  <si>
    <t>HC7</t>
  </si>
  <si>
    <t>HC9</t>
  </si>
  <si>
    <t>RH1</t>
  </si>
  <si>
    <t>C7</t>
  </si>
  <si>
    <t>C4</t>
  </si>
  <si>
    <t>HC10</t>
  </si>
  <si>
    <t>C6</t>
  </si>
  <si>
    <t>HC8</t>
  </si>
  <si>
    <t>C5</t>
  </si>
  <si>
    <t>FLH10</t>
  </si>
  <si>
    <t>FLH8</t>
  </si>
  <si>
    <t>FLH9</t>
  </si>
  <si>
    <t>HC11</t>
  </si>
  <si>
    <t>C10</t>
  </si>
  <si>
    <t>C11</t>
  </si>
  <si>
    <t>C12</t>
  </si>
  <si>
    <t>C13</t>
  </si>
  <si>
    <t>C14</t>
  </si>
  <si>
    <t>C15</t>
  </si>
  <si>
    <t>C16</t>
  </si>
  <si>
    <t>C17</t>
  </si>
  <si>
    <t>C18</t>
  </si>
  <si>
    <t>C19</t>
  </si>
  <si>
    <t>C20</t>
  </si>
  <si>
    <t>C21</t>
  </si>
  <si>
    <t>C22</t>
  </si>
  <si>
    <t>C23</t>
  </si>
  <si>
    <t>C24</t>
  </si>
  <si>
    <t>C8</t>
  </si>
  <si>
    <t>C9</t>
  </si>
  <si>
    <t>FLH11</t>
  </si>
  <si>
    <t>FLH12</t>
  </si>
  <si>
    <t>HC12</t>
  </si>
  <si>
    <t>HC13</t>
  </si>
  <si>
    <t>HC14</t>
  </si>
  <si>
    <t>P1</t>
  </si>
  <si>
    <t>P2</t>
  </si>
  <si>
    <t>P3</t>
  </si>
  <si>
    <t>C25</t>
  </si>
  <si>
    <t>C26</t>
  </si>
  <si>
    <t>C27</t>
  </si>
  <si>
    <t>FLH13</t>
  </si>
  <si>
    <t>FLH14</t>
  </si>
  <si>
    <t>FLH15</t>
  </si>
  <si>
    <t>FLH16</t>
  </si>
  <si>
    <t>HC15</t>
  </si>
  <si>
    <t>HC16</t>
  </si>
  <si>
    <t>HC17</t>
  </si>
  <si>
    <t>HC18</t>
  </si>
  <si>
    <t>C28</t>
  </si>
  <si>
    <t>C29</t>
  </si>
  <si>
    <t>C30</t>
  </si>
  <si>
    <t>C31</t>
  </si>
  <si>
    <t>C32</t>
  </si>
  <si>
    <t>FLH17</t>
  </si>
  <si>
    <t>HC19</t>
  </si>
  <si>
    <t>HC20</t>
  </si>
  <si>
    <t>HC21</t>
  </si>
  <si>
    <t>HC22</t>
  </si>
  <si>
    <t>HC23</t>
  </si>
  <si>
    <t>HC24</t>
  </si>
  <si>
    <t>HC25</t>
  </si>
  <si>
    <t>HC26</t>
  </si>
  <si>
    <t>HC27</t>
  </si>
  <si>
    <t>HC28</t>
  </si>
  <si>
    <t>HC29</t>
  </si>
  <si>
    <t>P4</t>
  </si>
  <si>
    <t>P5</t>
  </si>
  <si>
    <t>RH2</t>
  </si>
  <si>
    <t>C45</t>
  </si>
  <si>
    <t>C46</t>
  </si>
  <si>
    <t>HC33</t>
  </si>
  <si>
    <t>HC34</t>
  </si>
  <si>
    <t>Stockpile and consider treating early high risk patients with antiviral medications according to nationally endorsed guidelines</t>
  </si>
  <si>
    <t>P10</t>
  </si>
  <si>
    <t>P11</t>
  </si>
  <si>
    <t>P12</t>
  </si>
  <si>
    <t>P7</t>
  </si>
  <si>
    <t>P8</t>
  </si>
  <si>
    <t>P9</t>
  </si>
  <si>
    <t>C33</t>
  </si>
  <si>
    <t>C34</t>
  </si>
  <si>
    <t>C35</t>
  </si>
  <si>
    <t>C36</t>
  </si>
  <si>
    <t>C37</t>
  </si>
  <si>
    <t>C38</t>
  </si>
  <si>
    <t>C39</t>
  </si>
  <si>
    <t>C40</t>
  </si>
  <si>
    <t>C41</t>
  </si>
  <si>
    <t>C42</t>
  </si>
  <si>
    <t>C43</t>
  </si>
  <si>
    <t>C44</t>
  </si>
  <si>
    <t>FLH18</t>
  </si>
  <si>
    <t>FLH19</t>
  </si>
  <si>
    <t>HC30</t>
  </si>
  <si>
    <t>HC31</t>
  </si>
  <si>
    <t>HC32</t>
  </si>
  <si>
    <t>P6</t>
  </si>
  <si>
    <t>RH3</t>
  </si>
  <si>
    <t>C47</t>
  </si>
  <si>
    <t>FLH20</t>
  </si>
  <si>
    <t>FLH21</t>
  </si>
  <si>
    <t>FLH22</t>
  </si>
  <si>
    <t>FLH23</t>
  </si>
  <si>
    <t>HC35</t>
  </si>
  <si>
    <t>HC36</t>
  </si>
  <si>
    <t>HC37</t>
  </si>
  <si>
    <t>HC38</t>
  </si>
  <si>
    <t>HC39</t>
  </si>
  <si>
    <t>HC40</t>
  </si>
  <si>
    <t>HC41</t>
  </si>
  <si>
    <t>HC42</t>
  </si>
  <si>
    <t>HC43</t>
  </si>
  <si>
    <t>HC44</t>
  </si>
  <si>
    <t>HC45</t>
  </si>
  <si>
    <t>HC46</t>
  </si>
  <si>
    <t>RH4</t>
  </si>
  <si>
    <t>RH5</t>
  </si>
  <si>
    <t>RH6</t>
  </si>
  <si>
    <t>FLH24</t>
  </si>
  <si>
    <t>HC47</t>
  </si>
  <si>
    <t>RH7</t>
  </si>
  <si>
    <t>RH8</t>
  </si>
  <si>
    <t>RH9</t>
  </si>
  <si>
    <t>C48</t>
  </si>
  <si>
    <t>HC48</t>
  </si>
  <si>
    <t>HC49</t>
  </si>
  <si>
    <t>HC50</t>
  </si>
  <si>
    <t>HC51</t>
  </si>
  <si>
    <t>HC52</t>
  </si>
  <si>
    <t>HC53</t>
  </si>
  <si>
    <t>FLH25</t>
  </si>
  <si>
    <t>FLH26</t>
  </si>
  <si>
    <t>HC54</t>
  </si>
  <si>
    <t>HC55</t>
  </si>
  <si>
    <t>RH10</t>
  </si>
  <si>
    <t>RH11</t>
  </si>
  <si>
    <t>FLH27</t>
  </si>
  <si>
    <t>FLH28</t>
  </si>
  <si>
    <t>FLH29</t>
  </si>
  <si>
    <t>HC56</t>
  </si>
  <si>
    <t>RH12</t>
  </si>
  <si>
    <t>RH13</t>
  </si>
  <si>
    <t>C49</t>
  </si>
  <si>
    <t>C50</t>
  </si>
  <si>
    <t>C52</t>
  </si>
  <si>
    <t>C53</t>
  </si>
  <si>
    <t>C54</t>
  </si>
  <si>
    <t>C55</t>
  </si>
  <si>
    <t>C56</t>
  </si>
  <si>
    <t>C57</t>
  </si>
  <si>
    <t>C58</t>
  </si>
  <si>
    <t>C59</t>
  </si>
  <si>
    <t>FLH30</t>
  </si>
  <si>
    <t>FLH51</t>
  </si>
  <si>
    <t>FLH52</t>
  </si>
  <si>
    <t>FLH53</t>
  </si>
  <si>
    <t>FLH54</t>
  </si>
  <si>
    <t>FLH55</t>
  </si>
  <si>
    <t>FLH56</t>
  </si>
  <si>
    <t>HC64</t>
  </si>
  <si>
    <t>HC65</t>
  </si>
  <si>
    <t>FLH31</t>
  </si>
  <si>
    <t>FLH32</t>
  </si>
  <si>
    <t>FLH33</t>
  </si>
  <si>
    <t>FLH34</t>
  </si>
  <si>
    <t>FLH35</t>
  </si>
  <si>
    <t>FLH36</t>
  </si>
  <si>
    <t>FLH37</t>
  </si>
  <si>
    <t>FLH38</t>
  </si>
  <si>
    <t>FLH39</t>
  </si>
  <si>
    <t>FLH40</t>
  </si>
  <si>
    <t>FLH41</t>
  </si>
  <si>
    <t>FLH42</t>
  </si>
  <si>
    <t>FLH43</t>
  </si>
  <si>
    <t>FLH44</t>
  </si>
  <si>
    <t>FLH45</t>
  </si>
  <si>
    <t>FLH46</t>
  </si>
  <si>
    <t>FLH47</t>
  </si>
  <si>
    <t>FLH48</t>
  </si>
  <si>
    <t>FLH49</t>
  </si>
  <si>
    <t>FLH50</t>
  </si>
  <si>
    <t>HC57</t>
  </si>
  <si>
    <t>HC58</t>
  </si>
  <si>
    <t>HC59</t>
  </si>
  <si>
    <t>HC60</t>
  </si>
  <si>
    <t>HC61</t>
  </si>
  <si>
    <t>HC62</t>
  </si>
  <si>
    <t>HC63</t>
  </si>
  <si>
    <t>RH14</t>
  </si>
  <si>
    <t>RH15</t>
  </si>
  <si>
    <t>RH16</t>
  </si>
  <si>
    <t>RH17</t>
  </si>
  <si>
    <t>RH18</t>
  </si>
  <si>
    <t>FLH57</t>
  </si>
  <si>
    <t>HC66</t>
  </si>
  <si>
    <t>HC67</t>
  </si>
  <si>
    <t>C51</t>
  </si>
  <si>
    <t>P13</t>
  </si>
  <si>
    <t>FLH58</t>
  </si>
  <si>
    <t>HC68</t>
  </si>
  <si>
    <t>RH19</t>
  </si>
  <si>
    <t>RH20</t>
  </si>
  <si>
    <t>Code d'intervention DCP3</t>
  </si>
  <si>
    <t>Cette intervention est-elle actuellement mise en œuvre ? (oui/non)</t>
  </si>
  <si>
    <t>Plateforme de prestation (de DCP3)</t>
  </si>
  <si>
    <t>Plateform de prestation (si different)</t>
  </si>
  <si>
    <t>Observations (source des données, hypothèses)</t>
  </si>
  <si>
    <t>NON</t>
  </si>
  <si>
    <t>Communauté</t>
  </si>
  <si>
    <t>oui</t>
  </si>
  <si>
    <t>OUI</t>
  </si>
  <si>
    <t>consultation foraine et stratégie avancée</t>
  </si>
  <si>
    <t>Dans les zones où la transmission du paludisme est élevée, la pulvérisation intradomiciliaire à effet rémanent (pulvérisations intradomiciliaires à effet rémanent) .</t>
  </si>
  <si>
    <t>Pour le paludisme dû à P. vivax, tester le déficit en G6PD ; si normal, ajouter de la chloroquine ou de la chloroquine plus 14 jours de primaquine.</t>
  </si>
  <si>
    <t>En   Côte d'Ivoire  le paludisme est dû à P. falciparum ... P. vivax est très rare ,</t>
  </si>
  <si>
    <t>Mener des programmes de larvicide et de gestion de l'eau dans les zones à forte transmission du paludisme où les sites de reproduction des moustiques peuvent être identifiés et régulièrement ciblés.</t>
  </si>
  <si>
    <t>Dans tous les pays d'endémie palustre, diagnostic par test rapide ou microscopie (y compris la spécification) suivi d'un traitement par ACT (ou combinaison actuelle de première ligne).</t>
  </si>
  <si>
    <t>ESPC (CSU/CSR) (Primary);  HG (Secondary); CHU/CHR (Tertiary)</t>
  </si>
  <si>
    <t xml:space="preserve">Incidence du paludisme dans la population générale est  de 164‰ en 2017 (RASS 2017). </t>
  </si>
  <si>
    <t>Dans les régions où la transmission du paludisme est élevée et où les tests rapides et la microscopie ne sont pas disponibles, traitement présumé de la maladie fébrile avec des ACT (cas non graves) ou des ACT avec antibiotiques (cas graves).</t>
  </si>
  <si>
    <t>Dans les milieux à forte transmission du paludisme, traitement préventif intermittent du nourrisson (sauf en cas de chimioprophylaxie saisonnière du paludisme).</t>
  </si>
  <si>
    <t>Dans les établissements où la transmission du paludisme est faible, l'ajout d'une dose unique de primaquine à faible dose au traitement de première ligne.</t>
  </si>
  <si>
    <t>Dans les environnements où la transmission du paludisme est faible, enquête sur les cas, détection réactive des cas, détection proactive des cas (y compris le dépistage et le traitement de masse).</t>
  </si>
  <si>
    <t>Administration massive de médicaments dans les zones à faible transmission du paludisme (y compris les groupes à haut risque dans les groupes géographiques ou démographiques)</t>
  </si>
  <si>
    <t>Détection et traitement précoces de la maladie de Chagas, de la trypanosomiase humaine africaine, de la lèpre et des leishmanioses</t>
  </si>
  <si>
    <t>Traitement communautaire total pour les lacets</t>
  </si>
  <si>
    <t>Hôpital de premier niveau</t>
  </si>
  <si>
    <t>Prise en charge du paludisme grave, y compris la détection précoce et l'administration d'artésunate rectal en milieu communautaire, suivie d'artésunate parentéral et d'un traitement complet par ACT</t>
  </si>
  <si>
    <t>Les cas de paludisme grave sont les cas de paludisme hospitalisés</t>
  </si>
  <si>
    <t>Dans les zones à forte transmission du paludisme, le traitement préventif intermittent pendant la grossesse.</t>
  </si>
  <si>
    <t>Coût unitaire à l'achat HT  non compris le transport et le salaire</t>
  </si>
  <si>
    <t>Centre de santé</t>
  </si>
  <si>
    <t>Utilisation ciblée des vaccins contre les infections endémiques, telles que la dengue, le JEV, la typhoïde, le méningocoque et autres.</t>
  </si>
  <si>
    <t>ND</t>
  </si>
  <si>
    <t>Fourniture de moustiquaires imprégnées d'insecticide aux enfants et aux femmes enceintes fréquentant les centres de santé</t>
  </si>
  <si>
    <t>Hôpital de référence et spécialisé</t>
  </si>
  <si>
    <t xml:space="preserve">Prise en charge soutenue des vecteurs de la maladie de Chagas, de la leishmaniose viscérale, de la dengue et d'autres causes nationales importantes de fièvre non palustre </t>
  </si>
  <si>
    <t>Interventions en santé des populations</t>
  </si>
  <si>
    <t>Data from</t>
  </si>
  <si>
    <t>Administration massive de médicaments pour la filariose lymphatique, l'onchocercose, la schistosomiase, le trachome et les helminthiases transmis par le sol et les infections alimentaires par trématodes.</t>
  </si>
  <si>
    <t>Dépistage du VIH et counselling communautaires (par exemple, unités mobiles et dépistage sur place), avec référence ou lien approprié aux soins et mise en place immédiate d'un TARV à vie.</t>
  </si>
  <si>
    <t>Dépistage du VIH à domicile et conseil dans les milieux à forte prévalence, avec référence ou lien approprié aux soins et mise en place immédiate d'un traitement antirétroviral tout au long de la vie</t>
  </si>
  <si>
    <t>Fourniture de préservatifs à des populations clés, notamment les professionnel(le)s du sexe, les hommes ayant des rapports sexuels avec des hommes, les consommateurs de drogues injectables, les personnes transgenres et les détenus.</t>
  </si>
  <si>
    <t>93%TS/85%MSM/55%UD</t>
  </si>
  <si>
    <t>Prestation de services de réduction des méfaits, comme du matériel d'injection sécuritaire et des traitements de substitution aux opiacés, aux personnes qui s'injectent des drogues.</t>
  </si>
  <si>
    <t>enquete</t>
  </si>
  <si>
    <t>Recherche systématique des contacts pour identifier les personnes exposées à la tuberculose et les relier aux soins.</t>
  </si>
  <si>
    <t>Détection et traitement précoces du cancer du col de l'utérus à un stade précoce</t>
  </si>
  <si>
    <t>Renvoi des cas d'échec du traitement pour les épreuves de sensibilité aux médicaments ; inscription des personnes atteintes de TB-MR aux fins de traitement conformément aux lignes directrices de l'OMS (traitement court ou long).</t>
  </si>
  <si>
    <t>Parmi toutes les personnes dont on sait qu'elles sont séropositives, l'instauration immédiate d'un traitement antirétroviral avec surveillance régulière de la charge virale pour vérifier l'observance et le développement d'une résistance.</t>
  </si>
  <si>
    <t>Centre de santé/communautaires</t>
  </si>
  <si>
    <t>Soins post-violence sexiste, y compris conseils, contraception d'urgence et orientation (médicale et judiciaire) en cas de viol.</t>
  </si>
  <si>
    <t>donnees routines</t>
  </si>
  <si>
    <t>-</t>
  </si>
  <si>
    <t>Dépistage opportuniste du cancer du col de l'utérus par inspection visuelle ou test ADN du VPH et traitement des lésions précancéreuses par cryothérapie.</t>
  </si>
  <si>
    <t>Centre de santé*</t>
  </si>
  <si>
    <t>Dans le cas des personnes dont le test de dépistage des hépatites B et C est positif, évaluation de l'admissibilité au traitement par des fournisseurs formés, suivie de l'amorce et de la surveillance du traitement antiviral au besoin.</t>
  </si>
  <si>
    <t>Dépistage de l'hépatite B et de l'hépatite C chez les personnes identifiées dans la politique nationale sur le dépistage (en fonction de l'endémicité et du niveau de risque), avec aiguillage approprié des personnes séropositives vers des fournisseurs formés.</t>
  </si>
  <si>
    <t>Notification des partenaires et traitement accéléré des IST courantes, y compris le VIH</t>
  </si>
  <si>
    <t>PrEP pour les couples discordants et les autres personnes à haut risque d'infection, comme les travailleurs du sexe (dans les milieux à prévalence élevée).</t>
  </si>
  <si>
    <t>Dépistage du VIH, des IST et de l'hépatite à l'initiative du prestataire de soins et conseil pour tous ceux qui sont en contact avec le système de santé dans les milieux à forte prévalence, y compris les soins prénatals avec référence ou lien approprié aux soins, y compris l'initiation immédiate au TAR pour ceux dont le résultat est positif pour le VIH</t>
  </si>
  <si>
    <t>Dans la mesure où les ressources le permettent, vaccination contre l'hépatite B des populations à haut risque, y compris les travailleurs de la santé, les personnes handicapées, les HSH, les contacts familiaux et les personnes ayant plusieurs partenaires sexuels.</t>
  </si>
  <si>
    <t>Prestation de services médicaux volontaires de circoncision masculine dans les milieux où la prévalence du VIH est élevée</t>
  </si>
  <si>
    <t>Pour les PVVIH et les enfants de moins de cinq ans qui sont des proches ou des membres de la famille de personnes atteintes de tuberculose active, effectuer un dépistage des symptômes et une radiographie pulmonaire ; s'il n'y a pas de tuberculose active, fournir une thérapie préventive à l'isoniazide conformément aux directives actuelles de l'OMS.</t>
  </si>
  <si>
    <t>Diagnostic de la tuberculose, y compris l'évaluation de la résistance à la rifampicine au moyen d'un diagnostic moléculaire rapide (UltraXpert) et l'amorce d'un traitement de première intention conformément aux lignes directrices actuelles de l'OMS pour la tuberculose sensible aux médicaments ; renvoi pour confirmation, nouvelle évaluation de la résistance aux médicaments et traitement de la TB résistante aux médicaments</t>
  </si>
  <si>
    <t>Dépistage du VIH chez toutes les personnes ayant reçu un diagnostic de tuberculose active ; en cas d'infection par le VIH, commencer (ou orienter vers) un traitement antirétroviral et des soins du VIH.</t>
  </si>
  <si>
    <t>Centre de santé/communautes</t>
  </si>
  <si>
    <t>Dépistage de l'infection tuberculeuse latente à la suite d'un nouveau diagnostic de VIH, suivi d'un dépistage annuel chez les PVVIH à risque élevé d'exposition à la tuberculose ; instauration d'un traitement préventif à l'isoniazide chez toutes les personnes dont le résultat est positif mais qui ne présentent aucun signe de TB active</t>
  </si>
  <si>
    <t>Éducation et conseil en matière de VIH pour les femmes enceintes, les professionnel(le)s du sexe, les personnes qui s'injectent des drogues, les hommes qui ont des rapports sexuels avec des hommes et les personnes transgenres, les PVVIH et leurs partenaires</t>
  </si>
  <si>
    <t xml:space="preserve">Indicateur mal formulé: cible à réévaluer car une partie des femmes enceintes se rendent d'elles même en CPN sans sensibilisation </t>
  </si>
  <si>
    <t>PTME du VIH (Option B+) et syphilis</t>
  </si>
  <si>
    <t>Identification systématique des personnes présentant des symptômes de la tuberculose parmi les groupes à haut risque et lien avec les soins (" recherche active des cas ")</t>
  </si>
  <si>
    <t>Services spécialisés en tuberculose, y compris la prise en charge de l'échec du traitement de la tuberculose MR et de la tuberculose ultrarésistante et la chirurgie de la tuberculose.</t>
  </si>
  <si>
    <t>Données trimestrielles 2018 du PNLT</t>
  </si>
  <si>
    <t>CAT (centre antituberculeux)/CDT (centre de diagnostic et de traitement de la tuberculose)/IPCI (Institut pasteur de Côte d'Ivoire/CEDRES (centre de diagnostic et de recherche sur le Sida)</t>
  </si>
  <si>
    <t>oui (dans les prisons)</t>
  </si>
  <si>
    <t>Hôpital de référence et spécialisé (services de pneumophtisiologie des CHU de Cocody, Treichville,Bouaké et les CAT)</t>
  </si>
  <si>
    <t>TB</t>
  </si>
  <si>
    <t>PNSME</t>
  </si>
  <si>
    <t>Éducation prénatale et postnatale sur la planification familiale</t>
  </si>
  <si>
    <t>Oui</t>
  </si>
  <si>
    <t>Centre de Santé</t>
  </si>
  <si>
    <t>Conseils aux mères sur les soins thermaux à prodiguer aux nouveau-nés prématurés (retard du bain et contact peau à peau)</t>
  </si>
  <si>
    <t>Gestion du travail et de l'accouchement chez les femmes à faible risque par des accoucheuses qualifiées, y compris la réanimation néonatale de base après l'accouchement</t>
  </si>
  <si>
    <t>MICS 2016, PNDS</t>
  </si>
  <si>
    <t>Détection et prise en charge de la restriction de la croissance fœtale</t>
  </si>
  <si>
    <t>Induction du travail post-terme</t>
  </si>
  <si>
    <t>Gestion de la jaunisse par photothérapie</t>
  </si>
  <si>
    <t>Prise en charge de l'éclampsie par le sulfate de magnésium, y compris la stabilisation initiale dans les centres de santé</t>
  </si>
  <si>
    <t>HG</t>
  </si>
  <si>
    <t>PNDS</t>
  </si>
  <si>
    <t>Prise en charge de la septicémie maternelle, y compris le dépistage précoce dans les centres de santé</t>
  </si>
  <si>
    <t>Prise en charge des complications néonatales, de la méningite néonatale et d'autres infections très graves nécessitant des soins de soutien continus (liquides IV, oxygène, etc.).</t>
  </si>
  <si>
    <t>Prise en charge du travail prématuré à l'aide de corticostéroïdes, y compris la détection précoce dans les centres de santé</t>
  </si>
  <si>
    <t>Détection et traitement précoces de la pneumonie néonatale par antibiotiques oraux</t>
  </si>
  <si>
    <t>Prise en charge des fausses couches ou des avortements incomplets et soins post-avortement</t>
  </si>
  <si>
    <t>Prise en charge de la rupture prématurée prématurée des membranes, y compris l'administration d'antibiotiques</t>
  </si>
  <si>
    <t>Fourniture de préservatifs et de contraceptifs hormonaux, y compris les contraceptifs d'urgence</t>
  </si>
  <si>
    <t>MICS 2016</t>
  </si>
  <si>
    <t>Prise en charge de la septicémie néonatale, de la pneumonie et de la méningite à l'aide d'antibiotiques injectables et oraux</t>
  </si>
  <si>
    <t xml:space="preserve">Oui </t>
  </si>
  <si>
    <t>Interruption pharmacologique de grossesse</t>
  </si>
  <si>
    <t>Dépistage et prise en charge des troubles hypertendus pendant la grossesse</t>
  </si>
  <si>
    <t>Soins de soutien complets pour les nouveau-nés prématurés</t>
  </si>
  <si>
    <t>Promotion de l'allaitement maternel ou de l'alimentation complémentaire par des agents de santé non professionnels</t>
  </si>
  <si>
    <t>Vaccination à l'anatoxine tétanique chez les écoliers et les femmes recevant des soins prénatals</t>
  </si>
  <si>
    <t xml:space="preserve">Interruption chirurgicale de grossesse par aspiration et dilatation manuelles sous vide et curetage </t>
  </si>
  <si>
    <t>Gestion du travail et de l'accouchement chez les femmes à haut risque, y compris l'accouchement chirurgical (CEmNOC)</t>
  </si>
  <si>
    <t>Chirurgie pour grossesse extra-utérine</t>
  </si>
  <si>
    <t>Prise en charge du travail et de l'accouchement chez les femmes à faible risque (BEmNOC), y compris le traitement initial des complications obstétricales ou d'accouchement avant le transfert</t>
  </si>
  <si>
    <t>Traitement de l'hémorragie post-partum</t>
  </si>
  <si>
    <t>Interventions de changement de comportement dans le domaine de l'eau, de l'assainissement et de l'hygiène, telles que l'assainissement total dirigé par la communauté.</t>
  </si>
  <si>
    <t>Messages dans les médias concernant la sensibilisation au lavage des mains et aux effets de la pollution de l'air domestique sur la santé</t>
  </si>
  <si>
    <t>Éducation sur le lavage des mains et l'élimination sécuritaire des selles des enfants</t>
  </si>
  <si>
    <t>Vaccination contre le pneumocoque</t>
  </si>
  <si>
    <t>Vaccination contre le rotavirus</t>
  </si>
  <si>
    <t>Fourniture de cotrimoxazole aux enfants nés de mères séropositives au VIH</t>
  </si>
  <si>
    <t>Fourniture de suppléments de vitamine A et de zinc aux enfants conformément aux directives de l'OMS, et fourniture de suppléments alimentaires aux femmes et aux enfants des ménages souffrant d'insécurité alimentaire.</t>
  </si>
  <si>
    <t>Série de vaccinations infantiles (diphtérie, coqueluche, tétanos, polio, BCG, rougeole, hépatite B, Hib, rubéole)</t>
  </si>
  <si>
    <t>L'éducation des écoliers à la santé bucco-dentaire</t>
  </si>
  <si>
    <t>Présélection de la vue par les enseignants ; tests de la vue et fourniture de lunettes prêtes à l'emploi sur place par des ophtalmologistes.</t>
  </si>
  <si>
    <t>Vaccination scolaire contre le VPH pour les filles</t>
  </si>
  <si>
    <t>Détection et prise en charge de la malnutrition aiguë sévère et référence en présence de complications</t>
  </si>
  <si>
    <t>Détection et traitement des infections infantiles (iCCM), y compris l'aiguillage en cas de signes de danger</t>
  </si>
  <si>
    <t>Soins de soutien complets pour les infections infantiles graves avec signes de danger</t>
  </si>
  <si>
    <t>Prise en charge de la malnutrition aiguë sévère associée à une infection grave</t>
  </si>
  <si>
    <t>Détection et traitement des infections infantiles avec signes de danger (PCIME)</t>
  </si>
  <si>
    <t>Campagnes d'éducation pour la prévention de la violence sexiste</t>
  </si>
  <si>
    <t>Fourniture de suppléments de fer et d'acide folique aux femmes enceintes, et fourniture de nourriture ou de suppléments caloriques aux femmes enceintes dans les ménages souffrant d'insécurité alimentaire</t>
  </si>
  <si>
    <t>Insertion et retrait de contraceptifs de longue durée</t>
  </si>
  <si>
    <t>Ligature des trompes</t>
  </si>
  <si>
    <t>Vasectomie</t>
  </si>
  <si>
    <t>Yes</t>
  </si>
  <si>
    <t>VACCINS, MATERIEL D'INJECTION &amp; AUTRES CONSOMMABLES</t>
  </si>
  <si>
    <t>COÛTS UNITAIRE DES INTRANTS ($US) PAR DOSE</t>
  </si>
  <si>
    <t xml:space="preserve">NOMBRE DE CONTACT </t>
  </si>
  <si>
    <t>BCG</t>
  </si>
  <si>
    <t>0,137</t>
  </si>
  <si>
    <t>bVPO</t>
  </si>
  <si>
    <t>0,1525</t>
  </si>
  <si>
    <t>DTC-HepB-Hib</t>
  </si>
  <si>
    <t>1,73</t>
  </si>
  <si>
    <t>PCV-13</t>
  </si>
  <si>
    <t>3,3</t>
  </si>
  <si>
    <t>Rota_liq</t>
  </si>
  <si>
    <t>VPI</t>
  </si>
  <si>
    <t>18,1</t>
  </si>
  <si>
    <t>RR</t>
  </si>
  <si>
    <t>0,606</t>
  </si>
  <si>
    <t>Td</t>
  </si>
  <si>
    <t>0,12</t>
  </si>
  <si>
    <t>VAA</t>
  </si>
  <si>
    <t>Men_A</t>
  </si>
  <si>
    <t>0,621</t>
  </si>
  <si>
    <t>TOTAL</t>
  </si>
  <si>
    <t>consommbles</t>
  </si>
  <si>
    <t>SAB_0.05ml</t>
  </si>
  <si>
    <t>0,10205</t>
  </si>
  <si>
    <t>SAB_0.5ml</t>
  </si>
  <si>
    <t>0,0819</t>
  </si>
  <si>
    <t>Sdilution_2ml</t>
  </si>
  <si>
    <t>0,04134</t>
  </si>
  <si>
    <t>Sdilution_5ml</t>
  </si>
  <si>
    <t>0,08294</t>
  </si>
  <si>
    <t>Sdilution_10ml</t>
  </si>
  <si>
    <t>0,04706</t>
  </si>
  <si>
    <t>BS_5l</t>
  </si>
  <si>
    <t>1,3</t>
  </si>
  <si>
    <t>Réadaptation pulmonaire fondée sur l'exercice chez les patients atteints d'une maladie pulmonaire obstructive</t>
  </si>
  <si>
    <t>Hôpitaux spécialisés</t>
  </si>
  <si>
    <t>Traitement des syndromes coronariens aigus avec l'aspirine, l'héparine non fractionnée et les thrombolytiques génériques (le cas échéant)</t>
  </si>
  <si>
    <t>Hopitaux généraux</t>
  </si>
  <si>
    <t>Prise en charge de l'ischémie aiguë critique des membres avec héparine non fractionnée et revascularisation, le cas échéant, avec amputation en dernier recours</t>
  </si>
  <si>
    <t>Prise en charge des exacerbations aiguës de l'asthme et de la MPCO à l'aide de corticostéroïdes systémiques, de bêta-agonistes inhalés et, le cas échéant, d'antibiotiques par voie orale et d'oxygénothérapie</t>
  </si>
  <si>
    <t xml:space="preserve">Hopitaux Spécialisés </t>
  </si>
  <si>
    <t>Prise en charge médicale de l'insuffisance cardiaque aiguë</t>
  </si>
  <si>
    <t>Hopitaux de référence Spécialisé</t>
  </si>
  <si>
    <t>Dépistage et gestion du diabète pendant la grossesse (diabète gestationnel ou diabète de type 2  préexistant)</t>
  </si>
  <si>
    <t>Hopitaux de référence  et ESPC</t>
  </si>
  <si>
    <t>Traitement d'association à long terme pour les personnes présentant de multiples facteurs de risque de MCV, y compris le dépistage de MCV en milieu communautaire à l'aide d'outils autres que ceux utilisés en laboratoire pour évaluer le risque global de MCV</t>
  </si>
  <si>
    <t>ESPC</t>
  </si>
  <si>
    <t>Corticostéroïdes et bronchodilatateurs inhalés à faible dose pour l'asthme et pour certains patients atteints de BPCO</t>
  </si>
  <si>
    <t>Fourniture d’aspirine pour tous les cas suspectés d’infarctus aigu du myocarde</t>
  </si>
  <si>
    <t>ESPC et Hopitaux de référence</t>
  </si>
  <si>
    <t>Dépistage et gestion de l'insuffisance rénale albuminurique avec IECA (inhibiteurs des enzymes de conversion de l'angiotnsine) ou ARA (angiotensin II receptor antagonists), y compris le dépistage ciblé chez les personnes atteintes de diabète</t>
  </si>
  <si>
    <t>Dépistage et gestion du diabète chez les adultes à risque, y compris le contrôle de la glycémie, la gestion de la tension artérielle et des lipides et la prise en charge constante des pieds</t>
  </si>
  <si>
    <t>ESPC, Hopitaux de référence et Spécialisés</t>
  </si>
  <si>
    <t>Prophylaxie secondaire à la pénicilline pour le rhumatisme articulaire aigu ou la cardiopathie rhumatismale établie</t>
  </si>
  <si>
    <t>Gestion à long terme des cardiopathies ischémiques, des accidents vasculaires cérébraux et des maladies vasculaires périphériques avec aspirine, bêta-bloquants, IECA et statines (comme indiqué) afin de réduire le risque d'événements ultérieurs</t>
  </si>
  <si>
    <t>Hopitaux de references et spécialisés</t>
  </si>
  <si>
    <t>Prise en charge médicale de l'insuffisance cardiaque par les diurétiques, les bêta-bloquants, les IECA et les antagonistes des minéralocorticoïdes</t>
  </si>
  <si>
    <t>Dépistage opportuniste de l'hypertension chez tous les adultes et début du traitement chez les personnes souffrant d'hypertension grave et / ou de multiples facteurs de risque</t>
  </si>
  <si>
    <t>ESPC, Hopitaux de référence et Spécialisé</t>
  </si>
  <si>
    <t>Prise en charge de l'insuffisance respiratoire aiguë due à une exacerbation aiguë de l'asthme et de la BPCO; dans la MPOC, on préfère une pression positive bilatérale des voies respiratoires</t>
  </si>
  <si>
    <t>Hôpitaux de référence et spécialisés</t>
  </si>
  <si>
    <t>Dépistage de la rétinopathie par télémédecine, suivi d'un traitement par photocoagulation au laser</t>
  </si>
  <si>
    <t>Utilisation d’une intervention coronarienne percutanée dans les cas d’infarctus aigu du myocarde lorsque les ressources le permettent</t>
  </si>
  <si>
    <t>N/A</t>
  </si>
  <si>
    <t>Hôpitaux de référence et spécialisé</t>
  </si>
  <si>
    <t>Prise en charge de l'insuffisance renale chronique par la dialyse</t>
  </si>
  <si>
    <t>Hopitaux de référence et Spécialisés</t>
  </si>
  <si>
    <t>Données non encore parvenues</t>
  </si>
  <si>
    <t xml:space="preserve">CHU DE COCODY </t>
  </si>
  <si>
    <t>Rapports annuels d'activité 2011- 2017  du PNLMM/MNT</t>
  </si>
  <si>
    <t>CHU Cocody/Abidjan</t>
  </si>
  <si>
    <t>Rapports annuels d'activité 2014- 2017  du PNLMM/MNT</t>
  </si>
  <si>
    <t xml:space="preserve">Prise en charge annuel : médicament et bilan y compris </t>
  </si>
  <si>
    <t>Rhumatisme articulaire aigüe : maladie à forte regression; aucun cas rapporté en 10 ans au service de rhumatologie</t>
  </si>
  <si>
    <t>CHU de Cocody/Abidjan : Urgence et Hospitalisation</t>
  </si>
  <si>
    <t>SAMU, SINEPH (coût subventionné par séance de dialyse par patient  est de 1750 FCFA), soit un coût unitaire de 273 000 F CFA par an,</t>
  </si>
  <si>
    <t>New data?</t>
  </si>
  <si>
    <t>Prise en charge de l'obstruction intestinale</t>
  </si>
  <si>
    <t>Premier niveau Hôpital</t>
  </si>
  <si>
    <t>Conseils pour cesser de fumer et recours à la thérapie de remplacement de la nicotine dans certaines circonstances</t>
  </si>
  <si>
    <t>Traitement du cancer du sein au stade précoce avec des approches multimodales appropriées (y compris la chimiothérapie générique), à visée curative, pour les cas détectés par examen clinique dans les centres de santé et les hôpitaux de premier niveau</t>
  </si>
  <si>
    <t>Traitement du cancer colorectal au stade précoce avec des approches multimodales appropriées (y compris la chimiothérapie générique), à visée curative, pour les cas détectés par examen clinique dans les centres de santé et les hôpitaux de premier niveau</t>
  </si>
  <si>
    <t>Traitement des cancers infantiles de stade précoce (tels que les lymphomes de Burkitt et de Hodgkin, la leucémie lymphoblastique aiguë, le rétinoblastome et la tumeur de Wilms) à visée curative dans les unités de traitement du cancer pédiatriques ou les hôpitaux</t>
  </si>
  <si>
    <t>Auto prise en charge de la migraine</t>
  </si>
  <si>
    <t>Traitement psychologique de l'humeur, l'anxiété, le TDAH et les troubles du comportement perturbateurs</t>
  </si>
  <si>
    <t>Prise en charge du trouble bipolaire à l'aide de médicaments génériques stabilisateurs de l'humeur et d'un traitement psychosocial</t>
  </si>
  <si>
    <t>Gestion de la dépression et des troubles anxieux avec un traitement antidépresseur psychologique et générique</t>
  </si>
  <si>
    <t>Gestion de l'épilepsie, y compris la stabilisation aiguë et la gestion à long terme avec des antiépileptiques génériques</t>
  </si>
  <si>
    <t>Gestion de la schizophrénie à l'aide de médicaments antipsychotiques génériques et d'un traitement psychosocial</t>
  </si>
  <si>
    <t>Dépistage et intervention brève pour les troubles liés à l'alcool</t>
  </si>
  <si>
    <t>Supplémentation en calcium et en vitamine D pour la prévention secondaire de l'ostéoporose</t>
  </si>
  <si>
    <t>Traitement d'association, comprenant des corticostéroïdes à faible dose et des antirhumatismaux génériques modifiant la maladie (y compris le méthotrexate), chez les patients atteints de polyarthrite rhumatoïde modérée à sévère</t>
  </si>
  <si>
    <t>Programmes d'exercices pour les blessures et les troubles des membres supérieurs</t>
  </si>
  <si>
    <t>Supplémentation en calcium et en vitamine D pour la prévention primaire de l'ostéoporose chez les personnes à haut risque</t>
  </si>
  <si>
    <t>Réparation chirurgicale élective de lésions orthopédiques courantes (par exemple, déchirures méniscales et ligamenteuses) chez des personnes présentant une limitation fonctionnelle grave</t>
  </si>
  <si>
    <t>Prise en charge chirurgicale définitive et urgente des lésions orthopédiques (par exemple, réduction ouverte et fixation interne)</t>
  </si>
  <si>
    <t>Dans les contextes où la drépanocytose est un problème de santé publique, dépistage universel des nouveau-nés suivi d'une prophylaxie standard contre les infections bactériennes et le paludisme.</t>
  </si>
  <si>
    <t>document rédigé et soumis au cabinet en vue d'une communication  en conseil des ministres</t>
  </si>
  <si>
    <t>Dépistage ciblé de la perte auditive congénitale chez les enfants à haut risque à l'aide du test d'émissions otoacoustiques</t>
  </si>
  <si>
    <t xml:space="preserve">OUI                              Pr Adjoua ORL </t>
  </si>
  <si>
    <t>Réparation des fentes labiales et palatines</t>
  </si>
  <si>
    <t>Réparation du pied bot</t>
  </si>
  <si>
    <t>Identification précoce de l'intoxication au plomb et conseil aux familles dans le cadre de stratégies d'assainissement des sources d'exposition environnementale</t>
  </si>
  <si>
    <t>Programmes de réadaptation cardiaque et pulmonaire</t>
  </si>
  <si>
    <t>Interventions de réadaptation pour le développement de la petite enfance, comprenant une stimulation motrice, sensorielle et du langage</t>
  </si>
  <si>
    <t>Interventions fonctionnelles pour l'autogestion de soins pour les personnes handicapées</t>
  </si>
  <si>
    <t>Formation et recyclage pour les troubles de la parole, de la déglutition, de la communication et de la cognition</t>
  </si>
  <si>
    <t>Programmes de formation, de recyclage et d'exercices physiques qui traitent des blessures et des troubles musculo-squelettiques, y compris les douleurs chroniques au bas du dos et au cou</t>
  </si>
  <si>
    <t>Gestion des syndromes d'intoxication / empoisonnement à l'aide d'agents largement disponibles; par exemple, charbon actif, naloxone, bicarbonate, antivenin</t>
  </si>
  <si>
    <t>Premier niveau  Hôpital</t>
  </si>
  <si>
    <t>Évaluation, fourniture et formation à l'utilisation de produits d'assistance, y compris les appareils d'assistance à l'audition</t>
  </si>
  <si>
    <t>Fabrication, ajustement et formation à l'utilisation de prothèses, orthèses et attelles</t>
  </si>
  <si>
    <t>Activités de mobilisation après une blessure aiguë ou une maladie</t>
  </si>
  <si>
    <t>Gestion de base des blessures et des troubles musculo-squelettiques et neurologiques, tels que la prescription d'exercices simples et la fourniture d'une élingue ou d'un plâtre</t>
  </si>
  <si>
    <t>Examen des prothèses, orthèses et attelles, avec renvoi à l'hôpital si indiqué</t>
  </si>
  <si>
    <t>Appendicectomie</t>
  </si>
  <si>
    <t>Accouchement vaginal assisté par extraction sous vide ou forceps</t>
  </si>
  <si>
    <t>Burr Hole pour soulager la pression intracrânienne élevée aiguë</t>
  </si>
  <si>
    <t>Colostomie</t>
  </si>
  <si>
    <t>Escharotomie ou fasciotomie</t>
  </si>
  <si>
    <t>Réduction de la fracture et mise en place d'un fixateur externe et utilisation de la traction pour fractures</t>
  </si>
  <si>
    <t>Réparation de hernie, y compris chirurgie d'urgence</t>
  </si>
  <si>
    <t>Hystérectomie pour rupture utérine ou hémorragie post-partum intraitable</t>
  </si>
  <si>
    <t>Irrigation et débridement de fractures ouvertes</t>
  </si>
  <si>
    <t>Prise en charge de l'ostéomyélite, y compris le débridement chirurgical des cas réfractaires</t>
  </si>
  <si>
    <t>Prise en charge de l'arthrite septique</t>
  </si>
  <si>
    <t>Soulagement de l'obstruction urinaire par cathétérisme ou cystostomie sus-pubienne</t>
  </si>
  <si>
    <t>Enlèvement de la vésicule biliaire, y compris une chirurgie d'urgence</t>
  </si>
  <si>
    <t>Réparation de perforations (par exemple, ulcère peptique perforé, perforation typhoïde iléale)</t>
  </si>
  <si>
    <t>Greffe de peau de base</t>
  </si>
  <si>
    <t>Chirurgie de l'hydrocèle filarienne</t>
  </si>
  <si>
    <t>Laparotomie traumatique</t>
  </si>
  <si>
    <t>Amputations liées à un traumatisme</t>
  </si>
  <si>
    <t>Thoracostomie en tube</t>
  </si>
  <si>
    <t>Extraction dentaire</t>
  </si>
  <si>
    <t>Drainage d'abcès dentaire</t>
  </si>
  <si>
    <t>Drainage d'abcès superficiel</t>
  </si>
  <si>
    <t>Gestion des fractures non déplacées</t>
  </si>
  <si>
    <t>Suture des lacérations</t>
  </si>
  <si>
    <t>Traitement des caries</t>
  </si>
  <si>
    <t>Extraction de la cataracte et insertion d'une lentille intraoculaire</t>
  </si>
  <si>
    <t>Réparation des malformations ano-rectales et de la maladie de Hirschsprung</t>
  </si>
  <si>
    <t>Réparation de la fistule obstétricale</t>
  </si>
  <si>
    <t>Insertion d'un shunt pour hydrocéphalie</t>
  </si>
  <si>
    <t>Chirurgie du trichiasis trachomateux</t>
  </si>
  <si>
    <t>Soutien psychosocial et services de conseil aux personnes atteintes de problèmes de santé graves, complexes ou qui limitent la vie et à leurs aidants naturels</t>
  </si>
  <si>
    <t>Source Enquete SMART, RASS, ESNAPOCI
Cout de l'intervention sans la remuneration des agent sde santé</t>
  </si>
  <si>
    <t>Nutrition</t>
  </si>
  <si>
    <t>MICS</t>
  </si>
  <si>
    <t>MICS (diarrheal disease treatment coverage rate)</t>
  </si>
  <si>
    <t xml:space="preserve">Zinc not included in CIV; just vitamin A. </t>
  </si>
  <si>
    <t>MICS (ARI treatment coverage rate)</t>
  </si>
  <si>
    <t>MICS (children sleeping under a bednet)</t>
  </si>
  <si>
    <t>MICS 2016; .7% of women had fistula and 75% sought treatment</t>
  </si>
  <si>
    <t>MICS 2016, average of women (24%) and men (15%) who were tested and know their statu</t>
  </si>
  <si>
    <t>Only 18% of the health facilities in the country fit CEMNOC guidelines (source: SONU assessment, 2018)</t>
  </si>
  <si>
    <t>MICS 2016 (women who delivered at a health facility)</t>
  </si>
  <si>
    <t>MICS 2016 (breastfeeding as predominant way of feeding)</t>
  </si>
  <si>
    <t>spending</t>
  </si>
  <si>
    <t>DCP3 code</t>
  </si>
  <si>
    <t>Full name</t>
  </si>
  <si>
    <t>Intervention spending assumption</t>
  </si>
  <si>
    <t>Intervention spending (FCFA, NHA 2016)</t>
  </si>
  <si>
    <t>people living with HIV who know their status (UNAIDS)</t>
  </si>
  <si>
    <t>Curative HIV expenditures</t>
  </si>
  <si>
    <t>Education and counseling for HIV</t>
  </si>
  <si>
    <t>total amount for prevention</t>
  </si>
  <si>
    <t>MDR TB</t>
  </si>
  <si>
    <t>Treatment only</t>
  </si>
  <si>
    <t>total malaria prevention spending (incl. bednets and other interventions)</t>
  </si>
  <si>
    <t>total spending for diarrhea and resp infections</t>
  </si>
  <si>
    <t>all vaccination spending, total</t>
  </si>
  <si>
    <t>Only spending on treatment, not prevention (prevention=0)</t>
  </si>
  <si>
    <t>Total spending on mental health</t>
  </si>
  <si>
    <t>Total spending on diabetes</t>
  </si>
  <si>
    <t>All dental related costs</t>
  </si>
  <si>
    <t>All spending on nutrition</t>
  </si>
  <si>
    <t xml:space="preserve">Total spending on cardiovascular diseases </t>
  </si>
  <si>
    <t>total spending on trauma</t>
  </si>
  <si>
    <t>Total TB spending excl. MDR TB</t>
  </si>
  <si>
    <t>Total spending for contraceptives</t>
  </si>
  <si>
    <t>Total costs of management of ectopic pregnancy</t>
  </si>
  <si>
    <t>total spending for all maternity complications incl. c-sections</t>
  </si>
  <si>
    <t>total spending for all perinatal complications</t>
  </si>
  <si>
    <t>Non-disease specific expenditures reported: Separately; Monnaie: CFA Francs (XOF)</t>
  </si>
  <si>
    <t>Fonctions des soins de santé</t>
  </si>
  <si>
    <t>HC.1</t>
  </si>
  <si>
    <t>HC.2</t>
  </si>
  <si>
    <t>HC.3</t>
  </si>
  <si>
    <t>HC.4</t>
  </si>
  <si>
    <t>HC.5</t>
  </si>
  <si>
    <t>HC.6</t>
  </si>
  <si>
    <t>HC.7</t>
  </si>
  <si>
    <t>Tous HC</t>
  </si>
  <si>
    <t>HC.1.1</t>
  </si>
  <si>
    <t>HC.1.2</t>
  </si>
  <si>
    <t>HC.1.3</t>
  </si>
  <si>
    <t>HC.1.4</t>
  </si>
  <si>
    <t>HC.2.1</t>
  </si>
  <si>
    <t>HC.2.3</t>
  </si>
  <si>
    <t>HC.3.1</t>
  </si>
  <si>
    <t>HC.3.3</t>
  </si>
  <si>
    <t>HC.4.1</t>
  </si>
  <si>
    <t>HC.4.3</t>
  </si>
  <si>
    <t>HC.5.1</t>
  </si>
  <si>
    <t>HC.5.2</t>
  </si>
  <si>
    <t>HC.5.nec</t>
  </si>
  <si>
    <t>HC.6.1</t>
  </si>
  <si>
    <t>HC.6.2</t>
  </si>
  <si>
    <t>HC.6.3</t>
  </si>
  <si>
    <t>HC.6.4</t>
  </si>
  <si>
    <t>HC.6.5</t>
  </si>
  <si>
    <t>HC.6.6</t>
  </si>
  <si>
    <t>HC.6.nec</t>
  </si>
  <si>
    <t>HC.7.1</t>
  </si>
  <si>
    <t>HC.7.2</t>
  </si>
  <si>
    <t>HC.7.nec</t>
  </si>
  <si>
    <t>HC.1.1.1</t>
  </si>
  <si>
    <t>HC.1.1.2</t>
  </si>
  <si>
    <t>HC.1.1.nec</t>
  </si>
  <si>
    <t>HC.1.2.2</t>
  </si>
  <si>
    <t>HC.1.3.1</t>
  </si>
  <si>
    <t>HC.1.3.2</t>
  </si>
  <si>
    <t>HC.1.3.3</t>
  </si>
  <si>
    <t>HC.1.3.nec</t>
  </si>
  <si>
    <t>HC.4.3.1</t>
  </si>
  <si>
    <t>HC.4.3.nec</t>
  </si>
  <si>
    <t>HC.5.1.1</t>
  </si>
  <si>
    <t>HC.5.1.2</t>
  </si>
  <si>
    <t>HC.5.1.3</t>
  </si>
  <si>
    <t>HC.5.2.9</t>
  </si>
  <si>
    <t>HC.6.1.1</t>
  </si>
  <si>
    <t>HC.6.1.2</t>
  </si>
  <si>
    <t>HC.6.1.4</t>
  </si>
  <si>
    <t>HC.6.1.nec</t>
  </si>
  <si>
    <t>HC.6.2.1</t>
  </si>
  <si>
    <t>HC.6.2.nec</t>
  </si>
  <si>
    <t>HC.6.5.1</t>
  </si>
  <si>
    <t>HC.6.5.2</t>
  </si>
  <si>
    <t>HC.6.5.3</t>
  </si>
  <si>
    <t>HC.6.5.5</t>
  </si>
  <si>
    <t>HC.6.5.nec</t>
  </si>
  <si>
    <t>HC.7.1.2</t>
  </si>
  <si>
    <t>HC.7.1.nec</t>
  </si>
  <si>
    <t>HC.6.1.1.1</t>
  </si>
  <si>
    <t>HC.6.1.1.3</t>
  </si>
  <si>
    <t>Classification des maladies / affections</t>
  </si>
  <si>
    <t>Soins curatifs</t>
  </si>
  <si>
    <t>Soins curatifs hospitaliers</t>
  </si>
  <si>
    <t>Soins curatifs hospitaliers généraux</t>
  </si>
  <si>
    <t>Soins curatifs hospitaliers spécialisés</t>
  </si>
  <si>
    <t>Soins curatifs hospitaliers non spécifiés (n.c.a.)</t>
  </si>
  <si>
    <t>Soins curatifs en hospitalisation de jour</t>
  </si>
  <si>
    <t>Soins curatifs spécialisés en hospitalisation de jour</t>
  </si>
  <si>
    <t>Soins curatifs ambulatoires</t>
  </si>
  <si>
    <t>Soins curatifs ambulatoires généraux</t>
  </si>
  <si>
    <t>Soins curatifs ambulatoires dentaires</t>
  </si>
  <si>
    <t>Soins curatifs ambulatoires spécialisés</t>
  </si>
  <si>
    <t>Soins curatifs ambulatoires non spécifiés (n.c.a.)</t>
  </si>
  <si>
    <t>Soins curatifs à domicile</t>
  </si>
  <si>
    <t>Soins de réadaptation</t>
  </si>
  <si>
    <t>Soins de réadaptation hospitaliers</t>
  </si>
  <si>
    <t>Soins de réadaptation en mode ambulatoire</t>
  </si>
  <si>
    <t>Soins (de santé) de longue durée</t>
  </si>
  <si>
    <t>Soins (de santé) de longue durée hospitaliers</t>
  </si>
  <si>
    <t>Soins (de santé) de longue durée en mode ambulatoire</t>
  </si>
  <si>
    <t>Services auxiliaires (non-spécifié par fonction)</t>
  </si>
  <si>
    <t>Services de laboratoire d’analyses médicales</t>
  </si>
  <si>
    <t>Transport de patient</t>
  </si>
  <si>
    <t>SAMU</t>
  </si>
  <si>
    <t>Autres Transport de patient (Sapeurs Pompiers)</t>
  </si>
  <si>
    <t>Biens médicaux (non-spécifiés par fonction)</t>
  </si>
  <si>
    <t>Produits pharmaceutiques et autres biens médicaux non durables</t>
  </si>
  <si>
    <t>Médicaments délivrés sur ordonnance</t>
  </si>
  <si>
    <t>Médicaments livrés sans ordonnance (auto-médication)</t>
  </si>
  <si>
    <t>Autres biens médicaux non durables</t>
  </si>
  <si>
    <t>Appareils thérapeutiques et autres biens médicaux</t>
  </si>
  <si>
    <t>Tous autres biens médicaux durables, y compris les appareils médico-techniques</t>
  </si>
  <si>
    <t>Biens médicaux non spécifiés (n.c.a.)</t>
  </si>
  <si>
    <t>Soins préventifs</t>
  </si>
  <si>
    <t>Programmes d’information, d’éducation et de conseil (IEC)</t>
  </si>
  <si>
    <t>Programmes IEC relatifs aux substances addictives</t>
  </si>
  <si>
    <t>Programmes IEC relatifs au tabac</t>
  </si>
  <si>
    <t>Programmes IEC relatifs aux stupéfiants</t>
  </si>
  <si>
    <t>Programmes IEC relatifs à la nutrition</t>
  </si>
  <si>
    <t>Programmes IEC relatifs à l'inactivité physique</t>
  </si>
  <si>
    <t>Autres programmes, et programmes non spécifiés, d'IEC</t>
  </si>
  <si>
    <t>Programmes de vaccination</t>
  </si>
  <si>
    <t>Vaccination de routine</t>
  </si>
  <si>
    <t>Campagne de vaccination</t>
  </si>
  <si>
    <t>Programmes de détection précoce de maladie</t>
  </si>
  <si>
    <t>Programme de suivi de l’état de santé</t>
  </si>
  <si>
    <t>Surveillance épidémiologique et programmes de lutte contre le risque et la maladie</t>
  </si>
  <si>
    <t>Planification &amp; Gestion</t>
  </si>
  <si>
    <t>Supervision &amp; Evaluation (S&amp;E)</t>
  </si>
  <si>
    <t>Gestion des achats et des stocks</t>
  </si>
  <si>
    <t>Surveillance épidémiologique et PTME</t>
  </si>
  <si>
    <t>Surveillance épidémiologique et programmes de lutte contre le risque et la maladie non spécifiée (n.c.a.)</t>
  </si>
  <si>
    <t>Programmes de préparation contre les catastrophes et réponse d’urgence</t>
  </si>
  <si>
    <t>Soins préventifs non spécifiés (n.c.a.)</t>
  </si>
  <si>
    <t>Gouvernance, administration du système de santé et des financements</t>
  </si>
  <si>
    <t>Gouvernance et administration du système de santé</t>
  </si>
  <si>
    <t>Autres gouvernance et administration du système de santé (n.c.a.)</t>
  </si>
  <si>
    <t>Administration du financement de la santé</t>
  </si>
  <si>
    <t>Gouvernance, administration du système de santé et des financements non spécifiée (n.c.a.)</t>
  </si>
  <si>
    <t>DIS.1</t>
  </si>
  <si>
    <t>Maladies infectieuses et parasitaires</t>
  </si>
  <si>
    <t>DIS.1.1</t>
  </si>
  <si>
    <t>VIH/SIDA et autres Maladies Sexuellement Transmissibles (MSTs)</t>
  </si>
  <si>
    <t>DIS.1.1.1</t>
  </si>
  <si>
    <t>VIH/SIDA et maladies opportunistes</t>
  </si>
  <si>
    <t>DIS.1.1.1.1</t>
  </si>
  <si>
    <t>VIH/SIDA</t>
  </si>
  <si>
    <t>DIS.1.1.1.2</t>
  </si>
  <si>
    <t>Co-infection tuberculose et VIH</t>
  </si>
  <si>
    <t>DIS.1.1.1.3</t>
  </si>
  <si>
    <t>Autres maladies opportunistes du SIDA</t>
  </si>
  <si>
    <t>DIS.1.2</t>
  </si>
  <si>
    <t>Tuberculose</t>
  </si>
  <si>
    <t>DIS.1.2.1</t>
  </si>
  <si>
    <t>Tuberculose pulmonaire</t>
  </si>
  <si>
    <t>DIS.1.2.1.2</t>
  </si>
  <si>
    <t>Tuberculose multirésistante (TB-MR)</t>
  </si>
  <si>
    <t>DIS.1.2.1.nec</t>
  </si>
  <si>
    <t>Tuberculose pulmonaire non spécifiée (n.c.a.)</t>
  </si>
  <si>
    <t>DIS.1.2.nec</t>
  </si>
  <si>
    <t>Tuberculose non spécifiée (n.c.a.)</t>
  </si>
  <si>
    <t>DIS.1.3</t>
  </si>
  <si>
    <t>Paludisme</t>
  </si>
  <si>
    <t>DIS.1.3.1</t>
  </si>
  <si>
    <t>Paludisme grave</t>
  </si>
  <si>
    <t>DIS.1.3.nec</t>
  </si>
  <si>
    <t>Paludisme simple</t>
  </si>
  <si>
    <t>DIS.1.4</t>
  </si>
  <si>
    <t>Infections des voies respiratoires</t>
  </si>
  <si>
    <t>DIS.1.5</t>
  </si>
  <si>
    <t>Maladies diarrhéiques</t>
  </si>
  <si>
    <t>DIS.1.6</t>
  </si>
  <si>
    <t>Maladies tropicales négligées</t>
  </si>
  <si>
    <t>DIS.1.7</t>
  </si>
  <si>
    <t>Maladies évitables par la vaccination</t>
  </si>
  <si>
    <t>DIS.1.nec</t>
  </si>
  <si>
    <t>Autres maladies, et maladies non spécifiées, infectieuses et parasitaires (n.c.a.)</t>
  </si>
  <si>
    <t>DIS.2</t>
  </si>
  <si>
    <t>Santé de la reproduction</t>
  </si>
  <si>
    <t>DIS.2.1</t>
  </si>
  <si>
    <t>Affections maternelles</t>
  </si>
  <si>
    <t>DIS.2.1.1</t>
  </si>
  <si>
    <t>Accouchement eutocique (accouchement normal)</t>
  </si>
  <si>
    <t>DIS.2.1.nec</t>
  </si>
  <si>
    <t>Césarienne et Accouchement dystocique</t>
  </si>
  <si>
    <t>DIS.2.2</t>
  </si>
  <si>
    <t>Affections périnatales</t>
  </si>
  <si>
    <t>DIS.2.3</t>
  </si>
  <si>
    <t>Prise en charge d'une contraception (planning familial)</t>
  </si>
  <si>
    <t>DIS.2.nec</t>
  </si>
  <si>
    <t>Affections liés à la santé de la reproduction non spécifiées (n.c.a.)</t>
  </si>
  <si>
    <t>DIS.3</t>
  </si>
  <si>
    <t>Carences nutritionnelles</t>
  </si>
  <si>
    <t>DIS.4</t>
  </si>
  <si>
    <t>Maladies non transmissibles</t>
  </si>
  <si>
    <t>DIS.4.1</t>
  </si>
  <si>
    <t>Tumeurs</t>
  </si>
  <si>
    <t>DIS.4.2</t>
  </si>
  <si>
    <t>Maladies endocriniennes et métaboliques</t>
  </si>
  <si>
    <t>DIS.4.2.1</t>
  </si>
  <si>
    <t>Diabète</t>
  </si>
  <si>
    <t>DIS.4.2.nec</t>
  </si>
  <si>
    <t>Autres maladies, et maladies non spécifiées, endocriniennes et métaboliques</t>
  </si>
  <si>
    <t>DIS.4.3</t>
  </si>
  <si>
    <t>Maladies cardiovasculaires</t>
  </si>
  <si>
    <t>DIS.4.3.1</t>
  </si>
  <si>
    <t>Hypertension artérielle</t>
  </si>
  <si>
    <t>DIS.4.3.nec</t>
  </si>
  <si>
    <t>Autres maladies, et maladies non spécifiées, cardiovasculaires</t>
  </si>
  <si>
    <t>DIS.4.4</t>
  </si>
  <si>
    <t>Troubles mentaux et du comportement, et affections neurologiques</t>
  </si>
  <si>
    <t>DIS.4.4.1</t>
  </si>
  <si>
    <t>Troubles mentaux (psychiatriques)</t>
  </si>
  <si>
    <t>DIS.4.4.2</t>
  </si>
  <si>
    <t>Troubles du comportement</t>
  </si>
  <si>
    <t>DIS.4.4.3</t>
  </si>
  <si>
    <t>Maladies neurologiques</t>
  </si>
  <si>
    <t>DIS.4.4.nec</t>
  </si>
  <si>
    <t>Troubles mentaux, troubles du comportement et affections neurologiques non spécifiés (n.c.a.)</t>
  </si>
  <si>
    <t>DIS.4.5</t>
  </si>
  <si>
    <t>Maladies de l'appareil respiratoire</t>
  </si>
  <si>
    <t>DIS.4.6</t>
  </si>
  <si>
    <t>Maladies de l'appareil digestif</t>
  </si>
  <si>
    <t>DIS.4.7</t>
  </si>
  <si>
    <t>Maladies de l'appareil urogénital</t>
  </si>
  <si>
    <t>DIS.4.8</t>
  </si>
  <si>
    <t>Troubles des organes des sens</t>
  </si>
  <si>
    <t>DIS.4.9</t>
  </si>
  <si>
    <t>Maladies bucco-dentaires</t>
  </si>
  <si>
    <t>DIS.4.nec</t>
  </si>
  <si>
    <t>Autres maladies, et maladies non spécifiées, non transmissibles (n.c.a)</t>
  </si>
  <si>
    <t>DIS.5</t>
  </si>
  <si>
    <t>Traumatismes</t>
  </si>
  <si>
    <t>DIS.6</t>
  </si>
  <si>
    <t>Non lié à une maladie spécifique</t>
  </si>
  <si>
    <t>DIS.nec</t>
  </si>
  <si>
    <t>Autres maladies/affections et maladies/affections non spécifiées (n.c.a.)</t>
  </si>
  <si>
    <t>Tous DIS</t>
  </si>
  <si>
    <t>Target population</t>
  </si>
  <si>
    <t>Coût unitaire (de DCP3) USD</t>
  </si>
  <si>
    <t>Coût unitaire (de DCP3) FCFA</t>
  </si>
  <si>
    <t>Expected pregnancies</t>
  </si>
  <si>
    <t>Value</t>
  </si>
  <si>
    <t>RASS 2017</t>
  </si>
  <si>
    <t>Children under 1</t>
  </si>
  <si>
    <t>UN population projections</t>
  </si>
  <si>
    <t>?</t>
  </si>
  <si>
    <t>Taux de couverture actuel</t>
  </si>
  <si>
    <t>Taux de couverture ciblé</t>
  </si>
  <si>
    <t>Total</t>
  </si>
  <si>
    <t>0-1</t>
  </si>
  <si>
    <t>Share of 0-1</t>
  </si>
  <si>
    <t>0-4</t>
  </si>
  <si>
    <t>0-14</t>
  </si>
  <si>
    <t>0-17</t>
  </si>
  <si>
    <t>0-19</t>
  </si>
  <si>
    <t>0-24</t>
  </si>
  <si>
    <t>3-4</t>
  </si>
  <si>
    <t>3-5</t>
  </si>
  <si>
    <t>3-6</t>
  </si>
  <si>
    <t>4-5</t>
  </si>
  <si>
    <t>4-6</t>
  </si>
  <si>
    <t>5-10</t>
  </si>
  <si>
    <t>5-11</t>
  </si>
  <si>
    <t>5-14</t>
  </si>
  <si>
    <t>6-9</t>
  </si>
  <si>
    <t>6-10</t>
  </si>
  <si>
    <t>6-11</t>
  </si>
  <si>
    <t>6-12</t>
  </si>
  <si>
    <t>7-10</t>
  </si>
  <si>
    <t>7-12</t>
  </si>
  <si>
    <t>11-16</t>
  </si>
  <si>
    <t>11-17</t>
  </si>
  <si>
    <t>11-18</t>
  </si>
  <si>
    <t>12-14</t>
  </si>
  <si>
    <t>12-16</t>
  </si>
  <si>
    <t>12-17</t>
  </si>
  <si>
    <t>12-18</t>
  </si>
  <si>
    <t>13-17</t>
  </si>
  <si>
    <t>13-18</t>
  </si>
  <si>
    <t>13-19</t>
  </si>
  <si>
    <t>15+</t>
  </si>
  <si>
    <t>15-17</t>
  </si>
  <si>
    <t>15-24</t>
  </si>
  <si>
    <t>15-49</t>
  </si>
  <si>
    <t>15-59</t>
  </si>
  <si>
    <t>15-64</t>
  </si>
  <si>
    <t>16+</t>
  </si>
  <si>
    <t>17+</t>
  </si>
  <si>
    <t>18+</t>
  </si>
  <si>
    <t>18-23</t>
  </si>
  <si>
    <t>20+</t>
  </si>
  <si>
    <t>20-64</t>
  </si>
  <si>
    <t>20-69</t>
  </si>
  <si>
    <t>21+</t>
  </si>
  <si>
    <t>25+</t>
  </si>
  <si>
    <t>25-49</t>
  </si>
  <si>
    <t>25-64</t>
  </si>
  <si>
    <t>25-69</t>
  </si>
  <si>
    <t>50+</t>
  </si>
  <si>
    <t>60+</t>
  </si>
  <si>
    <t>65+</t>
  </si>
  <si>
    <t>70+</t>
  </si>
  <si>
    <t>75+</t>
  </si>
  <si>
    <t>80+</t>
  </si>
  <si>
    <t>85+</t>
  </si>
  <si>
    <t>90+</t>
  </si>
  <si>
    <t>Côte d'Ivoire</t>
  </si>
  <si>
    <t>Population 0-4 years</t>
  </si>
  <si>
    <t>Total population</t>
  </si>
  <si>
    <t>Cout unitaire (FCFA)</t>
  </si>
  <si>
    <t>Rapport d'activité de ALLIANCE-CI 2018 "Nombre de cas contact suspect de tuberculose référés par les communautaires vers le centre de santé:17 298
Nombre total de cas de tuberculose parmi lescas contact suspect de tuberculose référés: 4974
proportion des cas de TB réréfés par les communautaires: 4974/17298 (29%)
"</t>
  </si>
  <si>
    <t>Ici nous avons 5 maladies tropicales négligées à chimiothérapie préventives. Sur les 5 maladies nous traitons concommitament avec la même molécule la Filariose Lymphatique, l'Onchocercose et les Géohelminthiases, ce qui nous donne un taux de couverture de 74,61%. Quand à la Schistosomiase, elle se traite avec une autre molécule. Son taux de couverture est de 82,21%. Pour le Trachome, avec aussi sa molécule différente des autres sus-cités a atteint un taux de couverture de 93%. Toutes ces données sont issues du programme,74,61% FL , 82,21% SCHISTO et TRACHOME 93% -- according to NTD 2016 report weighted coverage index is 69% and the disease with the highest coverage rate is 95%, which is put as a target coverage</t>
  </si>
  <si>
    <t>Target population for NTD treatment</t>
  </si>
  <si>
    <t>Based on https://unitingtocombatntds.org/africa/cote-divoire/</t>
  </si>
  <si>
    <t>Source/assumptions</t>
  </si>
  <si>
    <t>Confirmed pediatric malaria cases</t>
  </si>
  <si>
    <t>Nom d'intervention</t>
  </si>
  <si>
    <t>ONUSIDA</t>
  </si>
  <si>
    <t>Schoolchildren (children 6-16)</t>
  </si>
  <si>
    <t>no data; exclude</t>
  </si>
  <si>
    <t>Case numbers for MDR TB</t>
  </si>
  <si>
    <t>https://extranet.who.int/sree/Reports?op=Replet&amp;name=/WHO_HQ_Reports/G2/PROD/EXT/TBCountryProfile&amp;ISO2=CI&amp;outtype=html&amp;LAN=FR</t>
  </si>
  <si>
    <t>Severe malaria cases</t>
  </si>
  <si>
    <t xml:space="preserve">Assume 33% of all malaria cases are severe </t>
  </si>
  <si>
    <t>Total malaria cases</t>
  </si>
  <si>
    <t>Simple malaria cases</t>
  </si>
  <si>
    <t>Total malnourished kids</t>
  </si>
  <si>
    <t>RASS 2017 (2016 data, 2017 pas disponible)</t>
  </si>
  <si>
    <t>People living with HIV</t>
  </si>
  <si>
    <t>http://www.unaids.org/en/regionscountries/countries/ctedivoire</t>
  </si>
  <si>
    <t>measure</t>
  </si>
  <si>
    <t>location</t>
  </si>
  <si>
    <t>year</t>
  </si>
  <si>
    <t>Prevalence</t>
  </si>
  <si>
    <t>Cote d'Ivoire</t>
  </si>
  <si>
    <t>Number</t>
  </si>
  <si>
    <t>HIV/AIDS resulting in other diseases</t>
  </si>
  <si>
    <t>Thyroid cancer</t>
  </si>
  <si>
    <t>Mesothelioma</t>
  </si>
  <si>
    <t>Hodgkin lymphoma</t>
  </si>
  <si>
    <t>Non-Hodgkin lymphoma</t>
  </si>
  <si>
    <t>Multiple myeloma</t>
  </si>
  <si>
    <t>Leukemia</t>
  </si>
  <si>
    <t>Other malignant neoplasms</t>
  </si>
  <si>
    <t>Other neoplasms</t>
  </si>
  <si>
    <t>Stroke</t>
  </si>
  <si>
    <t>Ischemic stroke</t>
  </si>
  <si>
    <t>Intracerebral hemorrhage</t>
  </si>
  <si>
    <t>Subarachnoid hemorrhage</t>
  </si>
  <si>
    <t>Hypertensive heart disease</t>
  </si>
  <si>
    <t>Atrial fibrillation and flutter</t>
  </si>
  <si>
    <t>Endocarditis</t>
  </si>
  <si>
    <t>Non-rheumatic valvular heart disease</t>
  </si>
  <si>
    <t>Other cardiovascular and circulatory diseases</t>
  </si>
  <si>
    <t>Pneumoconiosis</t>
  </si>
  <si>
    <t>Silicosis</t>
  </si>
  <si>
    <t>Asbestosis</t>
  </si>
  <si>
    <t>Coal workers pneumoconiosis</t>
  </si>
  <si>
    <t>Other pneumoconiosis</t>
  </si>
  <si>
    <t>Interstitial lung disease and pulmonary sarcoidosis</t>
  </si>
  <si>
    <t>Pyoderma</t>
  </si>
  <si>
    <t>Scabies</t>
  </si>
  <si>
    <t>Fungal skin diseases</t>
  </si>
  <si>
    <t>Viral skin diseases</t>
  </si>
  <si>
    <t>Acne vulgaris</t>
  </si>
  <si>
    <t>Alopecia areata</t>
  </si>
  <si>
    <t>Pruritus</t>
  </si>
  <si>
    <t>Urticaria</t>
  </si>
  <si>
    <t>Decubitus ulcer</t>
  </si>
  <si>
    <t>Other skin and subcutaneous diseases</t>
  </si>
  <si>
    <t>Glaucoma</t>
  </si>
  <si>
    <t>Age-related macular degeneration</t>
  </si>
  <si>
    <t>Age-related and other hearing loss</t>
  </si>
  <si>
    <t>Other vision loss</t>
  </si>
  <si>
    <t>Other sense organ diseases</t>
  </si>
  <si>
    <t>Oral disorders</t>
  </si>
  <si>
    <t>Caries of deciduous teeth</t>
  </si>
  <si>
    <t>Periodontal diseases</t>
  </si>
  <si>
    <t>Other oral disorders</t>
  </si>
  <si>
    <t>Road injuries</t>
  </si>
  <si>
    <t>Pedestrian road injuries</t>
  </si>
  <si>
    <t>Cyclist road injuries</t>
  </si>
  <si>
    <t>Motorcyclist road injuries</t>
  </si>
  <si>
    <t>Motor vehicle road injuries</t>
  </si>
  <si>
    <t>Other road injuries</t>
  </si>
  <si>
    <t>Intestinal nematode infections</t>
  </si>
  <si>
    <t>Ascariasis</t>
  </si>
  <si>
    <t>Typhoid fever</t>
  </si>
  <si>
    <t>Paratyphoid fever</t>
  </si>
  <si>
    <t>Lower respiratory infections</t>
  </si>
  <si>
    <t>Upper respiratory infections</t>
  </si>
  <si>
    <t>Otitis media</t>
  </si>
  <si>
    <t>Meningitis</t>
  </si>
  <si>
    <t>Pneumococcal meningitis</t>
  </si>
  <si>
    <t>H influenzae type B meningitis</t>
  </si>
  <si>
    <t>Meningococcal meningitis</t>
  </si>
  <si>
    <t>Other meningitis</t>
  </si>
  <si>
    <t>Encephalitis</t>
  </si>
  <si>
    <t>Diphtheria</t>
  </si>
  <si>
    <t>Whooping cough</t>
  </si>
  <si>
    <t>Measles</t>
  </si>
  <si>
    <t>Varicella and herpes zoster</t>
  </si>
  <si>
    <t>Chagas disease</t>
  </si>
  <si>
    <t>Leishmaniasis</t>
  </si>
  <si>
    <t>Visceral leishmaniasis</t>
  </si>
  <si>
    <t>Cutaneous and mucocutaneous leishmaniasis</t>
  </si>
  <si>
    <t>African trypanosomiasis</t>
  </si>
  <si>
    <t>Schistosomiasis</t>
  </si>
  <si>
    <t>Cysticercosis</t>
  </si>
  <si>
    <t>Cystic echinococcosis</t>
  </si>
  <si>
    <t>Onchocerciasis</t>
  </si>
  <si>
    <t>Dengue</t>
  </si>
  <si>
    <t>Yellow fever</t>
  </si>
  <si>
    <t>Rabies</t>
  </si>
  <si>
    <t>Cirrhosis and other chronic liver diseases</t>
  </si>
  <si>
    <t>Cirrhosis and other chronic liver diseases due to hepatitis B</t>
  </si>
  <si>
    <t>Cirrhosis and other chronic liver diseases due to hepatitis C</t>
  </si>
  <si>
    <t>Cirrhosis and other chronic liver diseases due to alcohol use</t>
  </si>
  <si>
    <t>Cirrhosis and other chronic liver diseases due to other causes</t>
  </si>
  <si>
    <t>Gastritis and duodenitis</t>
  </si>
  <si>
    <t>Inflammatory bowel disease</t>
  </si>
  <si>
    <t>Vascular intestinal disorders</t>
  </si>
  <si>
    <t>Pancreatitis</t>
  </si>
  <si>
    <t>Gastroesophageal reflux disease</t>
  </si>
  <si>
    <t>Alzheimer's disease and other dementias</t>
  </si>
  <si>
    <t>Parkinson's disease</t>
  </si>
  <si>
    <t>Multiple sclerosis</t>
  </si>
  <si>
    <t>Tension-type headache</t>
  </si>
  <si>
    <t>Motor neuron disease</t>
  </si>
  <si>
    <t>Other neurological disorders</t>
  </si>
  <si>
    <t>Drug use disorders</t>
  </si>
  <si>
    <t>Cocaine use disorders</t>
  </si>
  <si>
    <t>Amphetamine use disorders</t>
  </si>
  <si>
    <t>Other transport injuries</t>
  </si>
  <si>
    <t>Falls</t>
  </si>
  <si>
    <t>Drowning</t>
  </si>
  <si>
    <t>Poisoning by carbon monoxide</t>
  </si>
  <si>
    <t>Poisoning by other means</t>
  </si>
  <si>
    <t>Exposure to mechanical forces</t>
  </si>
  <si>
    <t>Unintentional firearm injuries</t>
  </si>
  <si>
    <t>Other exposure to mechanical forces</t>
  </si>
  <si>
    <t>Adverse effects of medical treatment</t>
  </si>
  <si>
    <t>Animal contact</t>
  </si>
  <si>
    <t>Venomous animal contact</t>
  </si>
  <si>
    <t>Non-venomous animal contact</t>
  </si>
  <si>
    <t>Foreign body</t>
  </si>
  <si>
    <t>Pulmonary aspiration and foreign body in airway</t>
  </si>
  <si>
    <t>Foreign body in eyes</t>
  </si>
  <si>
    <t>Foreign body in other body part</t>
  </si>
  <si>
    <t>Other unintentional injuries</t>
  </si>
  <si>
    <t>Self-harm</t>
  </si>
  <si>
    <t>Self-harm by firearm</t>
  </si>
  <si>
    <t>Self-harm by other specified means</t>
  </si>
  <si>
    <t>Physical violence by firearm</t>
  </si>
  <si>
    <t>Physical violence by sharp object</t>
  </si>
  <si>
    <t>Physical violence by other means</t>
  </si>
  <si>
    <t>Exposure to forces of nature</t>
  </si>
  <si>
    <t>Thalassemias trait</t>
  </si>
  <si>
    <t>Sickle cell trait</t>
  </si>
  <si>
    <t>G6PD trait</t>
  </si>
  <si>
    <t>Acute hepatitis C</t>
  </si>
  <si>
    <t>Acute hepatitis E</t>
  </si>
  <si>
    <t>Leprosy</t>
  </si>
  <si>
    <t>Other unspecified infectious diseases</t>
  </si>
  <si>
    <t>Esophageal cancer</t>
  </si>
  <si>
    <t>Stomach cancer</t>
  </si>
  <si>
    <t>Liver cancer</t>
  </si>
  <si>
    <t>Trichuriasis</t>
  </si>
  <si>
    <t>Hookworm disease</t>
  </si>
  <si>
    <t>Food-borne trematodiases</t>
  </si>
  <si>
    <t>Other neglected tropical diseases</t>
  </si>
  <si>
    <t>Maternal obstructed labor and uterine rupture</t>
  </si>
  <si>
    <t>Ectopic pregnancy</t>
  </si>
  <si>
    <t>Neonatal preterm birth</t>
  </si>
  <si>
    <t>Neonatal encephalopathy due to birth asphyxia and trauma</t>
  </si>
  <si>
    <t>Protein-energy malnutrition</t>
  </si>
  <si>
    <t>Iodine deficiency</t>
  </si>
  <si>
    <t>Vitamin A deficiency</t>
  </si>
  <si>
    <t>Dietary iron deficiency</t>
  </si>
  <si>
    <t>Sexually transmitted infections excluding HIV</t>
  </si>
  <si>
    <t>Syphilis</t>
  </si>
  <si>
    <t>Chlamydial infection</t>
  </si>
  <si>
    <t>Gonococcal infection</t>
  </si>
  <si>
    <t>Trichomoniasis</t>
  </si>
  <si>
    <t>Genital herpes</t>
  </si>
  <si>
    <t>Liver cancer due to hepatitis C</t>
  </si>
  <si>
    <t>Liver cancer due to alcohol use</t>
  </si>
  <si>
    <t>Liver cancer due to other causes</t>
  </si>
  <si>
    <t>Larynx cancer</t>
  </si>
  <si>
    <t>Tracheal, bronchus, and lung cancer</t>
  </si>
  <si>
    <t>Uterine cancer</t>
  </si>
  <si>
    <t>Prostate cancer</t>
  </si>
  <si>
    <t>Lip and oral cavity cancer</t>
  </si>
  <si>
    <t>Nasopharynx cancer</t>
  </si>
  <si>
    <t>Other pharynx cancer</t>
  </si>
  <si>
    <t>Gallbladder and biliary tract cancer</t>
  </si>
  <si>
    <t>Pancreatic cancer</t>
  </si>
  <si>
    <t>Malignant skin melanoma</t>
  </si>
  <si>
    <t>Non-melanoma skin cancer</t>
  </si>
  <si>
    <t>Ovarian cancer</t>
  </si>
  <si>
    <t>Testicular cancer</t>
  </si>
  <si>
    <t>Kidney cancer</t>
  </si>
  <si>
    <t>Bladder cancer</t>
  </si>
  <si>
    <t>Brain and nervous system cancer</t>
  </si>
  <si>
    <t>Premenstrual syndrome</t>
  </si>
  <si>
    <t>Other gynecological diseases</t>
  </si>
  <si>
    <t>Hemoglobinopathies and hemolytic anemias</t>
  </si>
  <si>
    <t>Thalassemias</t>
  </si>
  <si>
    <t>G6PD deficiency</t>
  </si>
  <si>
    <t>Other hemoglobinopathies and hemolytic anemias</t>
  </si>
  <si>
    <t>Endocrine, metabolic, blood, and immune disorders</t>
  </si>
  <si>
    <t>Osteoarthritis</t>
  </si>
  <si>
    <t>Low back pain</t>
  </si>
  <si>
    <t>Neck pain</t>
  </si>
  <si>
    <t>Gout</t>
  </si>
  <si>
    <t>Other musculoskeletal disorders</t>
  </si>
  <si>
    <t>Neural tube defects</t>
  </si>
  <si>
    <t>Congenital heart anomalies</t>
  </si>
  <si>
    <t>Down syndrome</t>
  </si>
  <si>
    <t>Turner syndrome</t>
  </si>
  <si>
    <t>Klinefelter syndrome</t>
  </si>
  <si>
    <t>Other chromosomal abnormalities</t>
  </si>
  <si>
    <t>Congenital musculoskeletal and limb anomalies</t>
  </si>
  <si>
    <t>Urogenital congenital anomalies</t>
  </si>
  <si>
    <t>Digestive congenital anomalies</t>
  </si>
  <si>
    <t>Dermatitis</t>
  </si>
  <si>
    <t>Psoriasis</t>
  </si>
  <si>
    <t>Myelodysplastic, myeloproliferative, and other hematopoietic neoplasms</t>
  </si>
  <si>
    <t>Benign and in situ intestinal neoplasms</t>
  </si>
  <si>
    <t>Benign and in situ cervical and uterine neoplasms</t>
  </si>
  <si>
    <t>Other benign and in situ neoplasms</t>
  </si>
  <si>
    <t>Non-rheumatic calcific aortic valve disease</t>
  </si>
  <si>
    <t>Non-rheumatic degenerative mitral valve disease</t>
  </si>
  <si>
    <t>Other non-rheumatic valve diseases</t>
  </si>
  <si>
    <t>Cirrhosis due to NASH</t>
  </si>
  <si>
    <t>Headache disorders</t>
  </si>
  <si>
    <t>Diabetes mellitus type 1</t>
  </si>
  <si>
    <t>Diabetes mellitus type 2</t>
  </si>
  <si>
    <t>Atopic dermatitis</t>
  </si>
  <si>
    <t>Contact dermatitis</t>
  </si>
  <si>
    <t>Seborrhoeic dermatitis</t>
  </si>
  <si>
    <t>Bacterial skin diseases</t>
  </si>
  <si>
    <t>Blindness and vision impairment</t>
  </si>
  <si>
    <t>Upper digestive system diseases</t>
  </si>
  <si>
    <t>Maternal abortion and miscarriage</t>
  </si>
  <si>
    <t>Liver cancer due to NASH</t>
  </si>
  <si>
    <t>Chronic kidney disease due to diabetes mellitus type 1</t>
  </si>
  <si>
    <t>Chronic kidney disease due to diabetes mellitus type 2</t>
  </si>
  <si>
    <t>Refraction disorders</t>
  </si>
  <si>
    <t>Near vision loss</t>
  </si>
  <si>
    <t>Other sexually transmitted infections</t>
  </si>
  <si>
    <t>Acute hepatitis</t>
  </si>
  <si>
    <t>Acute hepatitis A</t>
  </si>
  <si>
    <t>Acute hepatitis B</t>
  </si>
  <si>
    <t>Cannabis use disorders</t>
  </si>
  <si>
    <t>Other drug use disorders</t>
  </si>
  <si>
    <t>Major depressive disorder</t>
  </si>
  <si>
    <t>Dysthymia</t>
  </si>
  <si>
    <t>Anxiety disorders</t>
  </si>
  <si>
    <t>Eating disorders</t>
  </si>
  <si>
    <t>Anorexia nervosa</t>
  </si>
  <si>
    <t>Bulimia nervosa</t>
  </si>
  <si>
    <t>Autism spectrum disorders</t>
  </si>
  <si>
    <t>Conduct disorder</t>
  </si>
  <si>
    <t>Idiopathic developmental intellectual disability</t>
  </si>
  <si>
    <t>Other mental disorders</t>
  </si>
  <si>
    <t>Acute glomerulonephritis</t>
  </si>
  <si>
    <t>Chronic kidney disease due to hypertension</t>
  </si>
  <si>
    <t>Chronic kidney disease due to glomerulonephritis</t>
  </si>
  <si>
    <t>Chronic kidney disease due to other and unspecified causes</t>
  </si>
  <si>
    <t>Urinary diseases and male infertility</t>
  </si>
  <si>
    <t>Urinary tract infections</t>
  </si>
  <si>
    <t>Urolithiasis</t>
  </si>
  <si>
    <t>Benign prostatic hyperplasia</t>
  </si>
  <si>
    <t>Male infertility</t>
  </si>
  <si>
    <t>Gynecological diseases</t>
  </si>
  <si>
    <t>Uterine fibroids</t>
  </si>
  <si>
    <t>Polycystic ovarian syndrome</t>
  </si>
  <si>
    <t>Female infertility</t>
  </si>
  <si>
    <t>Endometriosis</t>
  </si>
  <si>
    <t>Genital prolapse</t>
  </si>
  <si>
    <t>Environmental heat and cold exposure</t>
  </si>
  <si>
    <t>Ebola</t>
  </si>
  <si>
    <t>Chronic lymphoid leukemia</t>
  </si>
  <si>
    <t>Acute myeloid leukemia</t>
  </si>
  <si>
    <t>Chronic myeloid leukemia</t>
  </si>
  <si>
    <t>Non-melanoma skin cancer (squamous-cell carcinoma)</t>
  </si>
  <si>
    <t>Non-melanoma skin cancer (basal-cell carcinoma)</t>
  </si>
  <si>
    <t>Executions and police conflict</t>
  </si>
  <si>
    <t>Drug-susceptible tuberculosis</t>
  </si>
  <si>
    <t>Zika virus</t>
  </si>
  <si>
    <t>Guinea worm disease</t>
  </si>
  <si>
    <t>Alcoholic cardiomyopathy</t>
  </si>
  <si>
    <t>Sexual violence</t>
  </si>
  <si>
    <t>Myocarditis</t>
  </si>
  <si>
    <t>Other leukemia</t>
  </si>
  <si>
    <t>Other cardiomyopathy</t>
  </si>
  <si>
    <t>Conflict and terrorism</t>
  </si>
  <si>
    <t>Multidrug-resistant tuberculosis without extensive drug resistance</t>
  </si>
  <si>
    <t>Extensively drug-resistant tuberculosis</t>
  </si>
  <si>
    <t>HIV/AIDS - Drug-susceptible Tuberculosis</t>
  </si>
  <si>
    <t>HIV/AIDS - Multidrug-resistant Tuberculosis without extensive drug resistance</t>
  </si>
  <si>
    <t>HIV/AIDS - Extensively drug-resistant Tuberculosis</t>
  </si>
  <si>
    <t>Latent tuberculosis infection</t>
  </si>
  <si>
    <t>Typhoid and paratyphoid</t>
  </si>
  <si>
    <t>Invasive Non-typhoidal Salmonella (iNTS)</t>
  </si>
  <si>
    <t>Post-partum hemorrhage treatment</t>
  </si>
  <si>
    <t>Treatment of renal insufficience / kidney failure with dialysis</t>
  </si>
  <si>
    <t>https://pophealthmetrics.biomedcentral.com/articles/10.1186/s12963-016-0073-5</t>
  </si>
  <si>
    <t>Adults and children living with HIV</t>
  </si>
  <si>
    <t>500 000 [350 000 - 690 000]</t>
  </si>
  <si>
    <t>Adults aged 15 and over living with HIV</t>
  </si>
  <si>
    <t>460 000 [310 000 - 640 000]</t>
  </si>
  <si>
    <t>Women aged 15 and over living with HIV</t>
  </si>
  <si>
    <t>270 000 [190 000 - 370 000]</t>
  </si>
  <si>
    <t>Men aged 15 and over living with HIV</t>
  </si>
  <si>
    <t>190 000 [130 000 - 270 000]</t>
  </si>
  <si>
    <t>Children aged 0 to 14 living with HIV</t>
  </si>
  <si>
    <t>38 000 [24 000 - 54 000]</t>
  </si>
  <si>
    <t>Adult aged 15 to 49 HIV prevalence rate</t>
  </si>
  <si>
    <t>2.8 [1.8 - 4.0]</t>
  </si>
  <si>
    <t>Women aged 15 to 49 HIV prevalence rate</t>
  </si>
  <si>
    <t>3.7 [2.5 - 5.2]</t>
  </si>
  <si>
    <t>Men aged 15 to 49 HIV prevalence rate</t>
  </si>
  <si>
    <t>1.9 [1.2 - 2.8]</t>
  </si>
  <si>
    <t>HIV prevalence among young women</t>
  </si>
  <si>
    <t>1.4 [0.7 - 2.5]</t>
  </si>
  <si>
    <t>HIV prevalence among young men</t>
  </si>
  <si>
    <t>0.6 [0.3 - 0.9]</t>
  </si>
  <si>
    <t>Adults and children newly infected with HIV</t>
  </si>
  <si>
    <t>30 000 [13 000 - 56 000]</t>
  </si>
  <si>
    <t>Adults aged 15 and over newly infected with HIV</t>
  </si>
  <si>
    <t>26 000 [11 000 - 48 000]</t>
  </si>
  <si>
    <t>Women aged 15 and over newly infected with HIV</t>
  </si>
  <si>
    <t>13 000 [5800 - 25 000]</t>
  </si>
  <si>
    <t>Men aged 15 and over newly infected with HIV</t>
  </si>
  <si>
    <t>13 000 [5600 - 24 000]</t>
  </si>
  <si>
    <t>Children aged 0 to 14 newly infected with HIV</t>
  </si>
  <si>
    <t>3800 [1500 - 7500]</t>
  </si>
  <si>
    <t>HIV incidence per 1000 population (adults 15-49)</t>
  </si>
  <si>
    <t>1.93 [0.84 - 3.69]</t>
  </si>
  <si>
    <t>HIV incidence per 1000 population (all ages)</t>
  </si>
  <si>
    <t>1.29 [0.55 - 2.43]</t>
  </si>
  <si>
    <t>Adult and child deaths due to AIDS</t>
  </si>
  <si>
    <t>24 000 [15 000 - 37 000]</t>
  </si>
  <si>
    <t>Deaths due to AIDS among adults aged 15 and over</t>
  </si>
  <si>
    <t>21 000 [13 000 - 32 000]</t>
  </si>
  <si>
    <t>Deaths due to AIDS among women aged 15 and over</t>
  </si>
  <si>
    <t>8700 [5000 - 14 000]</t>
  </si>
  <si>
    <t>Deaths due to AIDS among men aged 15 and over</t>
  </si>
  <si>
    <t>13 000 [7700 - 18 000]</t>
  </si>
  <si>
    <t xml:space="preserve">Deaths due to AIDS among children aged 0 to 14 </t>
  </si>
  <si>
    <t>3100 [1700 - 4900]</t>
  </si>
  <si>
    <t>Orphans due to AIDS aged 0 to 17</t>
  </si>
  <si>
    <t>290 000 [200 000 - 380 000]</t>
  </si>
  <si>
    <t>Epidemic transition metrics</t>
  </si>
  <si>
    <t>Percent change in new HIV infections since 2010</t>
  </si>
  <si>
    <t xml:space="preserve">3 </t>
  </si>
  <si>
    <t>Percent change in AIDS-related deaths since 2010</t>
  </si>
  <si>
    <t xml:space="preserve">-30 </t>
  </si>
  <si>
    <t>Incidence : prevalence ratio</t>
  </si>
  <si>
    <t xml:space="preserve">0.06 </t>
  </si>
  <si>
    <t>Incidence : mortality ratio</t>
  </si>
  <si>
    <t xml:space="preserve">0.97 </t>
  </si>
  <si>
    <t>HIV testing and treatment cascade</t>
  </si>
  <si>
    <t>People living with HIV who know their status</t>
  </si>
  <si>
    <t xml:space="preserve">270 000 </t>
  </si>
  <si>
    <t>Percent of people living with HIV who know their status</t>
  </si>
  <si>
    <t>54 [38 - 75]</t>
  </si>
  <si>
    <t>People living with HIV who are on ART</t>
  </si>
  <si>
    <t xml:space="preserve">230 000 </t>
  </si>
  <si>
    <t>Percent of people living with HIV who are on ART</t>
  </si>
  <si>
    <t>46 [32 - 63]</t>
  </si>
  <si>
    <t>People living with HIV who have suppressed viral loads</t>
  </si>
  <si>
    <t xml:space="preserve">170 000 </t>
  </si>
  <si>
    <t>Percent of people living with HIV who have suppressed viral loads</t>
  </si>
  <si>
    <t>35 [25 - 49]</t>
  </si>
  <si>
    <t>Antiretroviral therapy (ART)</t>
  </si>
  <si>
    <t>Coverage of adults and children receiving ART (%)</t>
  </si>
  <si>
    <t>Adults aged 15 and over receiving ART</t>
  </si>
  <si>
    <t>47 [32 - 66]</t>
  </si>
  <si>
    <t>Women aged 15 and over receiving ART</t>
  </si>
  <si>
    <t>60 [42 - 82]</t>
  </si>
  <si>
    <t>Men aged 15 and over receiving ART</t>
  </si>
  <si>
    <t>29 [20 - 42]</t>
  </si>
  <si>
    <t>Children aged 0 to 14 receiving ART</t>
  </si>
  <si>
    <t>27 [17 - 38]</t>
  </si>
  <si>
    <t>Number of adults and children receiving ART (#)</t>
  </si>
  <si>
    <t xml:space="preserve">225 839 </t>
  </si>
  <si>
    <t xml:space="preserve">215 526 </t>
  </si>
  <si>
    <t xml:space="preserve">160 342 </t>
  </si>
  <si>
    <t xml:space="preserve">55 184 </t>
  </si>
  <si>
    <t xml:space="preserve">10 313 </t>
  </si>
  <si>
    <t>Adults and children newly-initiating ART (#)</t>
  </si>
  <si>
    <t xml:space="preserve">57 284 </t>
  </si>
  <si>
    <t>Adults aged 15 and over newly-initiating ART</t>
  </si>
  <si>
    <t xml:space="preserve">54 024 </t>
  </si>
  <si>
    <t>Children aged 0-14 newly-initiating ART</t>
  </si>
  <si>
    <t xml:space="preserve">3260 </t>
  </si>
  <si>
    <t>Women aged 15 and over newly-initiating ART</t>
  </si>
  <si>
    <t xml:space="preserve">39 447 </t>
  </si>
  <si>
    <t>Men aged 15 and over newly-initiating ART</t>
  </si>
  <si>
    <t xml:space="preserve">14 577 </t>
  </si>
  <si>
    <t>Adults and children known to be on ART 12 months after starting (%)</t>
  </si>
  <si>
    <t xml:space="preserve">83 </t>
  </si>
  <si>
    <t>Adults known to be on ART 12 months after starting</t>
  </si>
  <si>
    <t>Children known to be on ART 12 months after starting</t>
  </si>
  <si>
    <t xml:space="preserve">84 </t>
  </si>
  <si>
    <t>Elimination of mother-to-child transmission</t>
  </si>
  <si>
    <t>Coverage of pregnant women who receive ARV for PMTCT (%)</t>
  </si>
  <si>
    <t>70 [45 - &gt;95]</t>
  </si>
  <si>
    <t>Pregnant women who received ARV for PMTCT (#)</t>
  </si>
  <si>
    <t xml:space="preserve">17 291 </t>
  </si>
  <si>
    <t>Pregnant women needing ARV for PMTCT (#)</t>
  </si>
  <si>
    <t>Early infant diagnosis (%)</t>
  </si>
  <si>
    <t>40 [27 - 62]</t>
  </si>
  <si>
    <t>New HIV infections averted due to PMTCT (%)</t>
  </si>
  <si>
    <t>3300 [1300 - 6400]</t>
  </si>
  <si>
    <t>Number of HIV-exposed children who are uninfected</t>
  </si>
  <si>
    <t>290 000 [180 000 - 400 000]</t>
  </si>
  <si>
    <t>Sex workers</t>
  </si>
  <si>
    <t>Population size estimate (#)</t>
  </si>
  <si>
    <t>2016 est.; Coverage: ABIDJAN, BOUAKE, SAN PEDRO</t>
  </si>
  <si>
    <t>HIV prevalence (%)</t>
  </si>
  <si>
    <t xml:space="preserve">12.2 </t>
  </si>
  <si>
    <t>Source: Impact-CI 2017</t>
  </si>
  <si>
    <t>Antiretroviral therapy coverage (%)</t>
  </si>
  <si>
    <t xml:space="preserve">24 </t>
  </si>
  <si>
    <t>Source: Special Study 2017</t>
  </si>
  <si>
    <t>Condom use (%)</t>
  </si>
  <si>
    <t xml:space="preserve">93.8 </t>
  </si>
  <si>
    <t>Source: "EVALUATION DES INDICATEURS CLES DU PROGRAMME NATIONAL DE LUTTE CONTRE LE SIDA DESTINE AUX TRAVAILLEUSES DU SEXE (TS) EN COTE D'IVOIRE : UNE APPROCHE PAR LA METHODE LQAS METHODOLOGIE (Lot Quality Assurance Sampling)"</t>
  </si>
  <si>
    <t>Coverage of HIV prevention programmes (%)</t>
  </si>
  <si>
    <t xml:space="preserve">96.2 </t>
  </si>
  <si>
    <t>Source: EVALUATION DES INDICATEURS CLES DU PROGRAMME NATIONAL DE LUTTE CONTRE LE SIDA DESTINE AUX TRAVAILLEUSES DU SEXE (TS) EN COTE D'IVOIRE : UNE APPROCHE PAR LA METHODE LQAS 2017</t>
  </si>
  <si>
    <t>Active syphilis (%)</t>
  </si>
  <si>
    <t xml:space="preserve">0.9 </t>
  </si>
  <si>
    <t>Source: Behavioural Surveillance Survey, 2014</t>
  </si>
  <si>
    <t>Men who have sex with men</t>
  </si>
  <si>
    <t>2017 est.; Coverage: NATIONAL</t>
  </si>
  <si>
    <t xml:space="preserve">12.33 </t>
  </si>
  <si>
    <t>Source: Behavioural Surveillance Survey 2017</t>
  </si>
  <si>
    <t>Knowledge of HIV status (%)</t>
  </si>
  <si>
    <t xml:space="preserve">13.3 </t>
  </si>
  <si>
    <t>Source: IBBS 2015-2016</t>
  </si>
  <si>
    <t xml:space="preserve">11.1 </t>
  </si>
  <si>
    <t xml:space="preserve">75.05 </t>
  </si>
  <si>
    <t>Source: "Cartographie Programmatique et Estimation de la Taille des HSH à Abidjan utilisant la méthode place avancée" 2017</t>
  </si>
  <si>
    <t xml:space="preserve">18.4 </t>
  </si>
  <si>
    <t xml:space="preserve">0.48 </t>
  </si>
  <si>
    <t>Source: Behavioural Surveillance Survey, 2015</t>
  </si>
  <si>
    <t>People who inject drugs</t>
  </si>
  <si>
    <t>Coverage:  District d'Abidjan</t>
  </si>
  <si>
    <t xml:space="preserve">5.3 </t>
  </si>
  <si>
    <t>Source: Behavioural Surveillance Survey  2014</t>
  </si>
  <si>
    <t xml:space="preserve">22.8 </t>
  </si>
  <si>
    <t>Source: "Rapport Medecin Du Monde (MDM) 2014 "Santé des personnes usagères de drogue à Abidjan en Côte d'Ivoire"</t>
  </si>
  <si>
    <t xml:space="preserve">50.4 </t>
  </si>
  <si>
    <t>Source: Data provided through GARPR 2014</t>
  </si>
  <si>
    <t>Safe injecting practices (%)</t>
  </si>
  <si>
    <t/>
  </si>
  <si>
    <t>Source: Ministère de la Santé et de la Lutte contre le Sida</t>
  </si>
  <si>
    <t>Prisoners</t>
  </si>
  <si>
    <t xml:space="preserve">1.2 </t>
  </si>
  <si>
    <t>Source: HIV tests conducted by jails, prisons and other closed settings 2017</t>
  </si>
  <si>
    <t xml:space="preserve">96.8 </t>
  </si>
  <si>
    <t>Source: Programme data 2017</t>
  </si>
  <si>
    <t>Prevalence of TB infection among prisoners (%)</t>
  </si>
  <si>
    <t xml:space="preserve">6.8 </t>
  </si>
  <si>
    <t>Representative of HIV/TB; Source: Routine programme data 2016</t>
  </si>
  <si>
    <t>Combination prevention</t>
  </si>
  <si>
    <t>Condom use at last high-risk sex among adults aged 15 to 49 (%)</t>
  </si>
  <si>
    <t xml:space="preserve">49.9 </t>
  </si>
  <si>
    <t>Source: 2011-12 DHS</t>
  </si>
  <si>
    <t>- Condom use at last high-risk sex among women aged 15 to 49 (%)</t>
  </si>
  <si>
    <t xml:space="preserve">30.4 </t>
  </si>
  <si>
    <t>Source: MICS 2016</t>
  </si>
  <si>
    <t>- Condom use at last high-risk sex among men aged 15 to 49 (%)</t>
  </si>
  <si>
    <t xml:space="preserve">41.8 </t>
  </si>
  <si>
    <t>Percentage of men 15-49 that are circumcised (%)</t>
  </si>
  <si>
    <t xml:space="preserve">97 </t>
  </si>
  <si>
    <t>Source: DHS 2011-12</t>
  </si>
  <si>
    <t>Stigma and discrimination</t>
  </si>
  <si>
    <t>Sex workers: Avoidance of health care because of stigma and discrimination (%)</t>
  </si>
  <si>
    <t xml:space="preserve">23.3 </t>
  </si>
  <si>
    <t>Refers to avoidance of health services in general due to fear of stigma and discrimination; Source: IBBS 2014</t>
  </si>
  <si>
    <t>Men who have sex with men: Avoidance of health care because of stigma and discrimination (%)</t>
  </si>
  <si>
    <t xml:space="preserve">15.8 </t>
  </si>
  <si>
    <t>Refers to avoidance of HIV testing due to fear of stigma and discrimination; Source: Special Study 2017</t>
  </si>
  <si>
    <t>Gender</t>
  </si>
  <si>
    <t>Women aged 15-49 who have their demand for family planning satisfied by modern methods (%)</t>
  </si>
  <si>
    <t xml:space="preserve">33.7 </t>
  </si>
  <si>
    <t>Source: 2016 MICS</t>
  </si>
  <si>
    <t>Women aged 15-19 who have their demand for family planning satisfied by modern methods (%)</t>
  </si>
  <si>
    <t xml:space="preserve">19.5 </t>
  </si>
  <si>
    <t>Women aged 20-24 who have their demand for family planning satisfied by modern methods (%)</t>
  </si>
  <si>
    <t xml:space="preserve">27 </t>
  </si>
  <si>
    <t>Women aged 25-49 who have their demand for family planning satisfied by modern methods (%)</t>
  </si>
  <si>
    <t xml:space="preserve">36 </t>
  </si>
  <si>
    <t>Young people</t>
  </si>
  <si>
    <t>Knowledge about HIV prevention among young people aged 15-24</t>
  </si>
  <si>
    <t xml:space="preserve">26.63 </t>
  </si>
  <si>
    <t>Source: MICS 2015</t>
  </si>
  <si>
    <t>Knowledge about HIV prevention among young women aged 15-24</t>
  </si>
  <si>
    <t>Knowledge about HIV prevention among young men aged 15-24</t>
  </si>
  <si>
    <t xml:space="preserve">33 </t>
  </si>
  <si>
    <t>TB and HIV</t>
  </si>
  <si>
    <t>Co-management of TB and HIV treatment (%)</t>
  </si>
  <si>
    <t>55 [38 - 87]</t>
  </si>
  <si>
    <t>Proportion of people living with HIV newly enrolled in HIV care with active TB disease (%)</t>
  </si>
  <si>
    <t xml:space="preserve">6 </t>
  </si>
  <si>
    <t>Estimated TB-related deaths among people living with HIV (#)</t>
  </si>
  <si>
    <t>2600 [1600 - 3800]</t>
  </si>
  <si>
    <t>Cervical cancer and HIV</t>
  </si>
  <si>
    <t>Cervical cancer screening among women living with HIV (survey data)</t>
  </si>
  <si>
    <t xml:space="preserve">10 </t>
  </si>
  <si>
    <t>MICS 2016 (of women of reproductive age), those using a modern method</t>
  </si>
  <si>
    <t>VIH</t>
  </si>
  <si>
    <t>Données trimestrielles 2018 du PNLT "Nombre total de cas de tuberculose diagnostiqués en 2018: 21300
Population générale ivoirienne en 2018: 25100249
Taux de couverture: 85 cas/100000 habitants"</t>
  </si>
  <si>
    <t>At risk pregnancies</t>
  </si>
  <si>
    <t>Assume 50% of all schoolchildren are girls</t>
  </si>
  <si>
    <t>Adolescents</t>
  </si>
  <si>
    <t>duplicate as C28</t>
  </si>
  <si>
    <t>chronic respiratory diseases (from GBD)</t>
  </si>
  <si>
    <t>measure_name</t>
  </si>
  <si>
    <t>location_name</t>
  </si>
  <si>
    <t>age_id</t>
  </si>
  <si>
    <t>cause_name</t>
  </si>
  <si>
    <t>metric_name</t>
  </si>
  <si>
    <t>val</t>
  </si>
  <si>
    <t>Number of abortions</t>
  </si>
  <si>
    <t>https://www.pma2020.org/sites/default/files/Cote%20d%E2%80%99Ivoire_AbortionModule_Brief_EN_012019.pdf - midpoint of estimate range 209K-288K</t>
  </si>
  <si>
    <t>Women of reproductive age</t>
  </si>
  <si>
    <t>Assume 7.5% of all pregnancies are induced as per study cited in Zim</t>
  </si>
  <si>
    <t>ischemic heart disease prev. data IHME</t>
  </si>
  <si>
    <t>intracerebral hemorrhage is meant to be the target population but it is 0</t>
  </si>
  <si>
    <t>colon and rectum cancer</t>
  </si>
  <si>
    <t>Are we sure this is right? Very high case number using 'fire, heat and hot substances' category from IHME</t>
  </si>
  <si>
    <t>Detailed figures</t>
  </si>
  <si>
    <t>Are we sure this is right? Very high case number using 'other musculoskeletal diseases' population target category from IHME</t>
  </si>
  <si>
    <t>Does everyone with LF need this surgery…?</t>
  </si>
  <si>
    <t>Use NHA</t>
  </si>
  <si>
    <t>20% of all transport injuries get this?</t>
  </si>
  <si>
    <t>20% of all cardiovascular diseases get this?</t>
  </si>
  <si>
    <t>No unit cost on the list?</t>
  </si>
  <si>
    <t>Other maternal disorders ? Not sure what the right target population figure is</t>
  </si>
  <si>
    <t>what is the target population?</t>
  </si>
  <si>
    <t>not sure what this intervention is?</t>
  </si>
  <si>
    <t>target population?</t>
  </si>
  <si>
    <t>TB incidence</t>
  </si>
  <si>
    <t>https://extranet.who.int/sree/Reports?op=Replet&amp;name=/WHO_HQ_Reports/G2/PROD/EXT/TBCountryProfile&amp;ISO2=CI&amp;outtype=html</t>
  </si>
  <si>
    <t>no target population</t>
  </si>
  <si>
    <t>what % of TB cases get this?</t>
  </si>
  <si>
    <t>NEW</t>
  </si>
  <si>
    <t>Population cible (target) (no)</t>
  </si>
  <si>
    <t xml:space="preserve"> children born to HIV+ mothers  target population, assumed as same as those eligible for PMTCT</t>
  </si>
  <si>
    <t xml:space="preserve">Further TW comment for blue cells </t>
  </si>
  <si>
    <t xml:space="preserve">Basline would be all those with fever that is presumably malaria - as this is a fairly complex intervention  we should exclude unless we are aware of specific instnaces where implemented (in Zim this was excluded) </t>
  </si>
  <si>
    <t>Are we sure this is 100%? Maybe more realisitically we have current is 80% and target is 80%</t>
  </si>
  <si>
    <t xml:space="preserve">No of reported cases of Yaws in CIV in 2012 was 2,864 https://www.ncbi.nlm.nih.gov/pmc/articles/PMC3979691/ </t>
  </si>
  <si>
    <t>population scaler Zim to CIV</t>
  </si>
  <si>
    <t>Target population of 590 in Zimbabwe - scaled up. Note this is different from MDA as it involves early identification of the patient and treatment, not prophylaxis</t>
  </si>
  <si>
    <t>Zeroed in Zimbabwe - if this is self managed then presumably no medication, or if so it is bought at phaarmcy over the counter so no direct health services costs</t>
  </si>
  <si>
    <t>Zeroed in Zimbabwe - if we plausibly think that this intervention of home visits for at-risk kids for domestic violence is feasible then add otherwise zero off</t>
  </si>
  <si>
    <t>Health workforce adjustment</t>
  </si>
  <si>
    <t>CIV GDP/capita</t>
  </si>
  <si>
    <t>Source: https://data.worldbank.org/indicator/NY.GDP.PCAP.CD?locations=CI</t>
  </si>
  <si>
    <t xml:space="preserve">Average HCW salary used for DCP3 costs </t>
  </si>
  <si>
    <t>Estimated monthly average salary for level 4 HCW in CIV</t>
  </si>
  <si>
    <t>Ratio to uplift "non traded"  -i.e. salary component (70%) of cost</t>
  </si>
  <si>
    <t>To upload, copy all values and create a new sheet in a stand-alone workbook in exatly same format as appears below</t>
  </si>
  <si>
    <t>Maternal and neonatal disorders</t>
  </si>
  <si>
    <t>Diarrheal diseases; Acute hepatitis A; Acute hepatitis E</t>
  </si>
  <si>
    <t>Other intestinal infectious diseases</t>
  </si>
  <si>
    <t>Vitamin A deficiency; Other nutritional deficiencies</t>
  </si>
  <si>
    <t>Diphtheria; Whooping cough; Tetanus; Tuberculosis; Measles; Acute hepatitis B; Cirrhosis and other chronic liver diseases due to hepatitis B; Liver cancer due to hepatitis B; H influenzae type B meningitis</t>
  </si>
  <si>
    <t>Oral disorders; Lip and oral cavity cancer</t>
  </si>
  <si>
    <t>Lymphatic filariasis; Onchocerciasis; Schistosomiasis; Trachoma; Food-borne trematodiases</t>
  </si>
  <si>
    <t>Maternal disorders; Neonatal preterm birth; Neonatal encephalopathy due to birth asphyxia and trauma; Neonatal sepsis and other neonatal infections; Other neonatal disorders</t>
  </si>
  <si>
    <t>HIV/AIDS and sexually transmitted infections</t>
  </si>
  <si>
    <t>Substance use disorders</t>
  </si>
  <si>
    <t>Nutritional deficiencies; Neonatal sepsis and other neonatal infections</t>
  </si>
  <si>
    <t>Chagas disease; African trypanosomiasis; Leprosy; Leishmaniasis</t>
  </si>
  <si>
    <t>Enteric infections</t>
  </si>
  <si>
    <t>Chronic respiratory diseases; Rheumatic heart disease; Ischemic heart disease; Hypertensive heart disease; Non-rheumatic valvular heart disease; Cardiomyopathy and myocarditis; Atrial fibrillation and flutter; Aortic aneurysm; Peripheral artery disease; Endocarditis; Other cardiovascular and circulatory diseases</t>
  </si>
  <si>
    <t>Autism spectrum disorders; Attention-deficit/hyperactivity disorder; Conduct disorder; Idiopathic developmental intellectual disability</t>
  </si>
  <si>
    <t>Injuries; Stroke; Musculoskeletal disorders; Parkinson's disease; Multiple sclerosis; Motor neuron disease</t>
  </si>
  <si>
    <t>Stroke; Parkinson's disease; Multiple sclerosis; Motor neuron disease</t>
  </si>
  <si>
    <t>Injuries; Musculoskeletal disorders</t>
  </si>
  <si>
    <t>Malaria; Diarrheal diseases; Lower respiratory infections</t>
  </si>
  <si>
    <t>Protein-energy malnutrition; Other maternal disorders; Other neonatal disorders</t>
  </si>
  <si>
    <t>Lower respiratory infections; Urinary tract infections; Diarrheal diseases; Malaria; HIV/AIDS; Drug-susceptible tuberculosis; Multidrug-resistant tuberculosis without extensive drug resistance; Extensively drug-resistant tuberculosis; Zika; Dengue; Ebola</t>
  </si>
  <si>
    <t>Maternal abortion and miscarriage; Indirect maternal deaths; Late maternal deaths; Ectopic pregnancy</t>
  </si>
  <si>
    <t>Multidrug-resistant tuberculosis without extensive drug resistance; HIV/AIDS - Multidrug-resistant Tuberculosis without extensive drug resistance</t>
  </si>
  <si>
    <t>Maternal hemorrhage; Other maternal disorders; Maternal sepsis and other maternal infections; Maternal hypertensive disorders; Maternal obstructed labor and uterine rupture; Maternal abortion and miscarriage; Ectopic pregnancy; Indirect maternal deaths; Late maternal deaths; Neonatal encephalopathy due to birth asphyxia and trauma</t>
  </si>
  <si>
    <t>Chronic obstructive pulmonary disease; Asthma</t>
  </si>
  <si>
    <t>Sickle cell disorders; Neonatal sepsis and other neonatal infections; Malaria</t>
  </si>
  <si>
    <t>Substance use disorders; Poisonings; Venomous animal contact</t>
  </si>
  <si>
    <t>Transport injuries; Unintentional injuries; Exposure to forces of nature; Other unintentional injuries; Exposure to mechanical forces; Foreign body; Self-harm and interpersonal violence</t>
  </si>
  <si>
    <t>Urinary tract infections; Urolithiasis; Benign prostatic hyperplasia; Other urinary diseases; Cervical cancer; Bladder cancer</t>
  </si>
  <si>
    <t>Gallbladder and biliary diseases; Gallbladder and biliary tract cancer</t>
  </si>
  <si>
    <t>Peptic ulcer disease; Other intestinal infectious diseases; Paralytic ileus and intestinal obstruction</t>
  </si>
  <si>
    <t>Fire, heat, and hot substances; Malignant skin melanoma; Decubitus ulcer</t>
  </si>
  <si>
    <t>Tracheal, bronchus, and lung cancer; Transport injuries; Unintentional injuries; Exposure to forces of nature; Other unintentional injuries; Exposure to mechanical forces; Foreign body; Self-harm and interpersonal violence</t>
  </si>
  <si>
    <t>Age-related and other hearing loss; Blindness and vision impairment</t>
  </si>
  <si>
    <t>Fire, heat, and hot substances; Lymphatic filariasis</t>
  </si>
  <si>
    <t>Cardiovascular diseases; Chronic respiratory diseases; Transport injuries; Unintentional injuries; Exposure to forces of nature; Other unintentional injuries; Exposure to mechanical forces; Foreign body; Self-harm and interpersonal violence</t>
  </si>
  <si>
    <t>Other maternal disorders</t>
  </si>
  <si>
    <t>Nutritional deficiencies; Malaria; Measles; Lower respiratory infections; Upper respiratory infections; Diarrheal diseases</t>
  </si>
  <si>
    <t>Depressive disorders; Bipolar disorder; Anxiety disorders; Attention-deficit/hyperactivity disorder; Conduct disorder</t>
  </si>
  <si>
    <t>HIV/AIDS and sexually transmitted infections; Depressive disorders; Anxiety disorders</t>
  </si>
  <si>
    <t>Acute hepatitis B; Acute hepatitis C; Cirrhosis and other chronic liver diseases due to hepatitis B; Cirrhosis and other chronic liver diseases due to hepatitis C; Liver cancer due to hepatitis B; Liver cancer due to hepatitis C</t>
  </si>
  <si>
    <t>HIV/AIDS and sexually transmitted infections; Acute hepatitis B; Acute hepatitis C; Cirrhosis and other chronic liver diseases due to hepatitis B; Cirrhosis and other chronic liver diseases due to hepatitis C; Liver cancer due to hepatitis B; Liver cancer due to hepatitis C</t>
  </si>
  <si>
    <t>Acute hepatitis B; Cirrhosis and other chronic liver diseases due to hepatitis B; Liver cancer due to hepatitis B</t>
  </si>
  <si>
    <t>Maternal sepsis and other maternal infections; Indirect maternal deaths; Late maternal deaths; Neonatal preterm birth; Neonatal sepsis and other neonatal infections</t>
  </si>
  <si>
    <t>Typhoid and paratyphoid; Dengue; Yellow fever; Encephalitis</t>
  </si>
  <si>
    <t>Malaria, Dengue; Zika; Encephalitis; Yellow fever</t>
  </si>
  <si>
    <t>Cardiovascular diseases; Chronic respiratory diseases</t>
  </si>
  <si>
    <t>Cardiovascular diseases; Chronic kidney disease</t>
  </si>
  <si>
    <t>Cardiovascular diseases; Lip and oral cavity cancer; Nasopharynx cancer; Other pharynx cancer; Esophageal cancer; Stomach cancer; Pancreatic cancer; Larynx cancer; Tracheal, bronchus, and lung cancer; Cervical cancer; Acute myeloid leukemia</t>
  </si>
  <si>
    <t>Depressive disorders; Anxiety disorders</t>
  </si>
  <si>
    <t>Alcohol use disorders; Liver cancer due to alcohol use; Alcoholic cardiomyopathy; Cirrhosis and other chronic liver diseases due to alcohol use</t>
  </si>
  <si>
    <t>Transport injuries; Unintentional injuries; Exposure to forces of nature; Other unintentional injuries; Exposure to mechanical forces; Foreign body; Self-harm and interpersonal violence; Other musculoskeletal disorders</t>
  </si>
  <si>
    <t>Caries of deciduous teeth; Caries of permanent teeth; Periodontal diseases</t>
  </si>
  <si>
    <t>Caries of deciduous teeth; Caries of permanent teeth</t>
  </si>
  <si>
    <t>Musculoskeletal disorders; Transport injuries; Unintentional injuries; Exposure to forces of nature; Other unintentional injuries; Exposure to mechanical forces; Foreign body; Self-harm and interpersonal violence</t>
  </si>
  <si>
    <t>HIV/AIDS; Syphilis</t>
  </si>
  <si>
    <t>Diarrheal diseases; Acute hepatitis A; Acute hepatitis E; Chronic respiratory diseases</t>
  </si>
  <si>
    <t>Chagas disease; Dengue; Visceral leishmaniasis; Typhoid and paratyphoid; Yellow fever; Encephalitis</t>
  </si>
  <si>
    <t>Other maternal disorders; Maternal obstructed labor and uterine rupture; Late maternal deaths</t>
  </si>
  <si>
    <t>Diabetes mellitus; Hypertensive heart disease; Age-related macular degeneration; Other vision loss</t>
  </si>
  <si>
    <t>Brain and nervous system cancer; Hodgkin lymphoma; Acute lymphoid leukemia; Other leukemia; Kidney cancer; Other malignant neoplasms</t>
  </si>
  <si>
    <t>This is the sheet that will be used for upload into the HIP Tool</t>
  </si>
  <si>
    <t>Action: The spending column should be populated from Column Q "Depense pour l'intervention"  in the "collected data-merged" tab (populated only when column Q complete, and set up so spending automatically updates (i.e. with an "equals" formula - this will make it easier to run sensitivity analysis</t>
  </si>
  <si>
    <t>Action: the Unit costs should be updated with values from "collected data-merged" tab Column M "Costs adjusted to CIV health workforce salaries"</t>
  </si>
  <si>
    <t>DCP3 Code</t>
  </si>
  <si>
    <t>DCP3 short name</t>
  </si>
  <si>
    <t>GBD Causes</t>
  </si>
  <si>
    <t>Total targeted DALYs</t>
  </si>
  <si>
    <t>Cause</t>
  </si>
  <si>
    <t>Pneumococcal meningitis: 0.05; Lower respiratory infections: 0.05</t>
  </si>
  <si>
    <t>Vitamin A deficiency: 0.059; Other nutritional deficiencies: 0.059</t>
  </si>
  <si>
    <t>Malaria: 0.02; Dengue; Zika; Encephalitis; Yellow fever</t>
  </si>
  <si>
    <t>All causes</t>
  </si>
  <si>
    <t>Malaria: 0.03</t>
  </si>
  <si>
    <t>Malaria: 0.04</t>
  </si>
  <si>
    <t>Aortic aneurysm</t>
  </si>
  <si>
    <t>Nutritional deficiencies: 0.025; Neonatal sepsis and other neonatal infections</t>
  </si>
  <si>
    <t>Stroke; Musculoskeletal disorders; Parkinson's disease; Multiple sclerosis; Motor neuron disease</t>
  </si>
  <si>
    <t>Diabetes and kidney diseases</t>
  </si>
  <si>
    <t>Digestive diseases</t>
  </si>
  <si>
    <t>Indirect maternal deaths</t>
  </si>
  <si>
    <t>Late maternal deaths</t>
  </si>
  <si>
    <t>Maternal deaths aggravated by HIV/AIDS</t>
  </si>
  <si>
    <t>Mental disorders</t>
  </si>
  <si>
    <t>Neoplasms</t>
  </si>
  <si>
    <t>Neurological disorders</t>
  </si>
  <si>
    <t>Other chronic respiratory diseases</t>
  </si>
  <si>
    <t>Other digestive diseases</t>
  </si>
  <si>
    <t>Other infectious diseases</t>
  </si>
  <si>
    <t>Other non-communicable diseases</t>
  </si>
  <si>
    <t>Other nutritional deficiencies</t>
  </si>
  <si>
    <t>Respiratory infections and tuberculosis</t>
  </si>
  <si>
    <t>Self-harm and interpersonal violence</t>
  </si>
  <si>
    <t>Sense organ diseases</t>
  </si>
  <si>
    <t>Skin and subcutaneous diseases</t>
  </si>
  <si>
    <t>Sudden infant death syndrome</t>
  </si>
  <si>
    <t>Unintentional injuries</t>
  </si>
  <si>
    <t>DALYs (CIV from HIP)</t>
  </si>
  <si>
    <t>Prevalence (CIV from HIP)</t>
  </si>
  <si>
    <t>Scaler for LMIC for level 4 HCW from Serje et al 2018</t>
  </si>
  <si>
    <t xml:space="preserve">Action: "max coverage" values  after each cause of burden need to be inserted in the text of each cell in column E. The quantum for each of these "Max coverage" values will be calculated with the following formula in this Workbook whereT1 is tab "collected data-merged" and T2 is tab "sheet-for upload" and T3 is tab "DCP3 causes and BoD CIV" : =(T1 Column O Taux de couverture ciblé  / T1 Column N Taux de couverture actuel)*((T2Column H "Spending"/T2Column F "ICER"*quality adjustment (70%))/(T3 Column E "Total Targeted DALY" for that intervention)). Where there are multiple causes, the same quantum is applied as max coverage to each cause. </t>
  </si>
  <si>
    <t>HC 5</t>
  </si>
  <si>
    <t>Kangaroo Care</t>
  </si>
  <si>
    <t>Check (this column gets deleted on upload)</t>
  </si>
  <si>
    <t>Ratio of current to target coverage.- delete on upload</t>
  </si>
  <si>
    <t>Current impact (DALYs) delete on upload</t>
  </si>
  <si>
    <t>Quality_reduction</t>
  </si>
  <si>
    <t>FCFA:US$_exchange</t>
  </si>
  <si>
    <t>Current impact as proportion of linked burden</t>
  </si>
  <si>
    <t>Max coverage  (maximum impact as a proportion of linked burden - the value in this cell needs to be entered as text after the cuases of burden in colum F). Delete this column at upload</t>
  </si>
  <si>
    <t>Check to the burden link</t>
  </si>
  <si>
    <t>Cervical Cancer</t>
  </si>
  <si>
    <t>Trachoma; Other vision loss</t>
  </si>
  <si>
    <t>Linked burden  (targeted DALYS) -This needs to pick up the no of DALYs that are linked to this intervention in the tab "DCPP3 causes and BoD CIV"</t>
  </si>
  <si>
    <t>Cataract: 1</t>
  </si>
  <si>
    <t>Chagas disease: 1; African trypanosomiasis: 1; Leprosy: 1; Leishmaniasis: 1</t>
  </si>
  <si>
    <t>Other musculoskeletal disorders: 1</t>
  </si>
  <si>
    <t>Peptic ulcer disease: 1; Other intestinal infectious diseases: 1; Paralytic ileus and intestinal obstruction: 1</t>
  </si>
  <si>
    <t>Diarrheal diseases: 0.05; Acute hepatitis A: 0.05; Acute hepatitis E: 0.05</t>
  </si>
  <si>
    <t>Causes of burden (max coverage) concatenate</t>
  </si>
  <si>
    <t>Maternal and neonatal disorders: 0.000183266655685767</t>
  </si>
  <si>
    <t>Pneumococcal meningitis: 0.13156518581712</t>
  </si>
  <si>
    <t>Other intestinal infectious diseases: 0.0158870557114252</t>
  </si>
  <si>
    <t>HIV/AIDS: 0.297091190008105</t>
  </si>
  <si>
    <t>Malaria: 0</t>
  </si>
  <si>
    <t>Blindness and vision impairment: 0</t>
  </si>
  <si>
    <t>Neonatal preterm birth: 0.000657352260697988</t>
  </si>
  <si>
    <t>Interpersonal violence: 0</t>
  </si>
  <si>
    <t>Maternal disorders: 0.114417334473257</t>
  </si>
  <si>
    <t>HIV/AIDS: 0</t>
  </si>
  <si>
    <t>HIV/AIDS and sexually transmitted infections: 0.852402766920175</t>
  </si>
  <si>
    <t>Tuberculosis: 0.000373686364127254</t>
  </si>
  <si>
    <t>Malaria: 0.698038258369592</t>
  </si>
  <si>
    <t>Migraine: 0</t>
  </si>
  <si>
    <t>Tetanus: 0.034905971193561</t>
  </si>
  <si>
    <t>Enteric infections: 0</t>
  </si>
  <si>
    <t>Malaria: 0.0032984402592675</t>
  </si>
  <si>
    <t>Protein-energy malnutrition: 0.334531852263047</t>
  </si>
  <si>
    <t>Maternal abortion and miscarriage: 0.394430871765088</t>
  </si>
  <si>
    <t>Protein-energy malnutrition: 0.146744163049935</t>
  </si>
  <si>
    <t>Cervical cancer: 0</t>
  </si>
  <si>
    <t>Malaria: 0.40602310636082</t>
  </si>
  <si>
    <t>Ischemic heart disease: 0.000483730509984097</t>
  </si>
  <si>
    <t>Cardiovascular diseases: 0.0338466012845297</t>
  </si>
  <si>
    <t>Paralytic ileus and intestinal obstruction: 0</t>
  </si>
  <si>
    <t>Other musculoskeletal disorders: 0</t>
  </si>
  <si>
    <t>Hemolytic disease and other neonatal jaundice: 0</t>
  </si>
  <si>
    <t>Appendicitis: 0.709461778758186</t>
  </si>
  <si>
    <t>Maternal obstructed labor and uterine rupture: 0.0102449184324947</t>
  </si>
  <si>
    <t>Intracerebral hemorrhage: 0</t>
  </si>
  <si>
    <t>Fire, heat, and hot substances: 0</t>
  </si>
  <si>
    <t>Inguinal, femoral, and abdominal hernia: 0.00109671509498418</t>
  </si>
  <si>
    <t>Maternal hemorrhage: 0.149548056665221</t>
  </si>
  <si>
    <t>Maternal hypertensive disorders: 0.613011978741419</t>
  </si>
  <si>
    <t>Maternal sepsis and other maternal infections: 0.382550123196961</t>
  </si>
  <si>
    <t>Neonatal sepsis and other neonatal infections: 0</t>
  </si>
  <si>
    <t>Neonatal preterm birth: 0.0034856168533149</t>
  </si>
  <si>
    <t>Ectopic pregnancy: 0.0380948526617345</t>
  </si>
  <si>
    <t>Neonatal sepsis and other neonatal infections: 0.0113163292019002</t>
  </si>
  <si>
    <t>Other maternal disorders: 0</t>
  </si>
  <si>
    <t>Maternal and neonatal disorders: 0.267149607177662</t>
  </si>
  <si>
    <t>HIV/AIDS and sexually transmitted infections: 0</t>
  </si>
  <si>
    <t>Tuberculosis: 0.00258712206406013</t>
  </si>
  <si>
    <t>Tuberculosis: 0.0100134194081234</t>
  </si>
  <si>
    <t>HIV/AIDS: 0.00242367768431463</t>
  </si>
  <si>
    <t>Tuberculosis: 0.00052555408252017</t>
  </si>
  <si>
    <t>Other neonatal disorders: 0</t>
  </si>
  <si>
    <t>Age-related and other hearing loss: 0.0272199385194773</t>
  </si>
  <si>
    <t>Bacterial skin diseases: 0</t>
  </si>
  <si>
    <t>Trachoma: 0</t>
  </si>
  <si>
    <t>Ischemic heart disease: 0</t>
  </si>
  <si>
    <t>Breast cancer: 0.371307713622968</t>
  </si>
  <si>
    <t>Vitamin A deficiency: 0.05; Other nutritional deficiencies: 0.05</t>
  </si>
  <si>
    <t>Substance use disorders: 0.02</t>
  </si>
  <si>
    <t>Malaria: 0; Dengue: 0; Zika: 0; Encephalitis: 0; Yellow fever: 0</t>
  </si>
  <si>
    <t>Nutritional deficiencies: 0.000123345995109915; Neonatal sepsis and other neonatal infections: 0.000123345995109915</t>
  </si>
  <si>
    <t>Chronic respiratory diseases: 0; Rheumatic heart disease: 0; Ischemic heart disease: 0; Hypertensive heart disease: 0; Non-rheumatic valvular heart disease: 0; Cardiomyopathy and myocarditis: 0;  Atrial fibrillation and flutter: 0; Aortic aneurysm: 0; Peripheral artery disease: 0; Endocarditis: 0; Other cardiovascular and circulatory diseases: 0</t>
  </si>
  <si>
    <t>Injuries: 0; Stroke: 0; Musculoskeletal disorders: 0; Parkinson's disease: 0; Multiple sclerosis: 0; Motor neuron disease: 0</t>
  </si>
  <si>
    <t>Stroke: 0; Parkinson's disease: 0; Multiple sclerosis: 0; Motor neuron disease: 0</t>
  </si>
  <si>
    <t>Injuries: 0; Musculoskeletal disorders: 0</t>
  </si>
  <si>
    <t>Malaria: 0.000797137269046323; Diarrheal diseases: 0.000797137269046323; Lower respiratory infections: 0.000797137269046323</t>
  </si>
  <si>
    <t>Protein-energy malnutrition: 0; Other maternal disorders: 0; Other neonatal disorders: 0</t>
  </si>
  <si>
    <t>Lower respiratory infections: 0; Urinary tract infections: 0; Diarrheal diseases: 0; Malaria: 0; HIV/AIDS: 0; Drug-susceptible tuberculosis: 0; Multidrug-resistant tuberculosis without extensive drug resistance: 0; Extensively drug-resistant tuberculosis: 0; Zika: 0; Dengue: 0; Ebola: 0</t>
  </si>
  <si>
    <t>Maternal abortion and miscarriage: 0.286646891993635; Indirect maternal deaths: 0.286646891993635; Late maternal deaths: 0.286646891993635; Ectopic pregnancy: 0.286646891993635</t>
  </si>
  <si>
    <t>Maternal abortion and miscarriage: 0.330822623954106; Indirect maternal deaths: 0.330822623954106; Late maternal deaths: 0.330822623954106; Ectopic pregnancy: 0.330822623954106</t>
  </si>
  <si>
    <t>Maternal abortion and miscarriage: 0; Indirect maternal deaths: 0; Late maternal deaths: 0; Ectopic pregnancy: 0</t>
  </si>
  <si>
    <t>Multidrug-resistant tuberculosis without extensive drug resistance: 0.786071536668893; HIV/AIDS - Multidrug-resistant Tuberculosis without extensive drug resistance: 0.786071536668893</t>
  </si>
  <si>
    <t>Maternal hemorrhage: 0.00126455309201403; Other maternal disorders: 0.00126455309201403; Maternal sepsis and other maternal infections: 0.00126455309201403; Maternal hypertensive disorders: 0.00126455309201403; Maternal obstructed labor and uterine rupture: 0.00126455309201403; Maternal abortion and miscarriage: 0.00126455309201403; Ectopic pregnancy: 0.00126455309201403; Indirect maternal deaths: 0.00126455309201403; Late maternal deaths: 0.00126455309201403; Neonatal encephalopathy due to birth asphyxia and trauma: 0.00126455309201403</t>
  </si>
  <si>
    <t>Chronic obstructive pulmonary disease: 0.0266150272331945; Asthma: 0.0266150272331945</t>
  </si>
  <si>
    <t>Sickle cell disorders: 0; Neonatal sepsis and other neonatal infections: 0; Malaria: 0</t>
  </si>
  <si>
    <t>Diphtheria: 1; Whooping cough: 1; Tetanus: 1; Tuberculosis: 1; Measles: 1; Acute hepatitis B: 1; Cirrhosis and other chronic liver diseases due to hepatitis B: 1; Liver cancer due to hepatitis B: 1; H influenzae type B meningitis: 1</t>
  </si>
  <si>
    <t>Cervical cancer: 1</t>
  </si>
  <si>
    <t>Lymphatic filariasis: 1; Onchocerciasis: 1; Schistosomiasis: 1; Trachoma: 1; Food-borne trematodiases: 1</t>
  </si>
  <si>
    <t>HIV/AIDS: 1</t>
  </si>
  <si>
    <t>Maternal disorders: 1; Neonatal preterm birth: 1; Neonatal encephalopathy due to birth asphyxia and trauma: 1; Neonatal sepsis and other neonatal infections: 1; Other neonatal disorders: 1</t>
  </si>
  <si>
    <t>Other cardiovascular and circulatory diseases: 1</t>
  </si>
  <si>
    <t>Rheumatoid arthritis: 1</t>
  </si>
  <si>
    <t>Substance use disorders: 1; Poisonings: 1; Venomous animal contact: 1</t>
  </si>
  <si>
    <t>Colon and rectum cancer: 1</t>
  </si>
  <si>
    <t>Transport injuries: 0.04; Unintentional injuries: 0.04; Exposure to forces of nature: 0.04; Other unintentional injuries: 0.04; Exposure to mechanical forces: 0.04; Foreign body: 0.04; Self-harm and interpersonal violence: 0.04</t>
  </si>
  <si>
    <t>Transport injuries: 0.01; Unintentional injuries: 0.01; Exposure to forces of nature: 0.01; Other unintentional injuries: 0.01; Exposure to mechanical forces: 0.01; Foreign body: 0.01; Self-harm and interpersonal violence: 0.01</t>
  </si>
  <si>
    <t>Urinary tract infections: 1; Urolithiasis: 1; Benign prostatic hyperplasia: 1; Other urinary diseases: 1; Cervical cancer: 1; Bladder cancer: 1</t>
  </si>
  <si>
    <t>Gallbladder and biliary diseases: 1; Gallbladder and biliary tract cancer: 1</t>
  </si>
  <si>
    <t>Fire, heat, and hot substances: 0; Malignant skin melanoma: 0; Decubitus ulcer: 0</t>
  </si>
  <si>
    <t>Transport injuries: 0; Unintentional injuries: 0; Exposure to forces of nature; Other unintentional injuries; Exposure to mechanical forces; Foreign body; Self-harm and interpersonal violence: 0</t>
  </si>
  <si>
    <t>Transport injuries: 0; Unintentional injuries: 0; Exposure to forces of nature: 0; Other unintentional injuries: 0; Exposure to mechanical forces: 0; Foreign body: 0; Self-harm and interpersonal violence: 0</t>
  </si>
  <si>
    <t>Tracheal, bronchus, and lung cancer: 0.02; Transport injuries: 0.02; Unintentional injuries: 0.02; Exposure to forces of nature: 0.02; Other unintentional injuries: 0.02; Exposure to mechanical forces: 0.02; Foreign body: 0.02; Self-harm and interpersonal violence: 0.02</t>
  </si>
  <si>
    <t>Age-related and other hearing loss: 0; Blindness and vision impairment: 0</t>
  </si>
  <si>
    <t>Fire, heat, and hot substances: 0.04; Lymphatic filariasis: 0.04</t>
  </si>
  <si>
    <t>Maternal and neonatal disorders: 0</t>
  </si>
  <si>
    <t>Nutritional deficiencies: 0.04; MalariaL 0.04; Measles: 0.04; Lower respiratory infections: 0.04; Upper respiratory infections: 0.04; Diarrheal diseases: 0.04</t>
  </si>
  <si>
    <t>Depressive disorders: 0; Bipolar disorder: 0; Anxiety disorders: 0; Attention-deficit/hyperactivity disorder: 0; Conduct disorder: 0</t>
  </si>
  <si>
    <t>HIV/AIDS and sexually transmitted infections: 0; Depressive disorders: 0; Anxiety disorders: 0</t>
  </si>
  <si>
    <t>Sexually transmitted infections excluding HIV: 0</t>
  </si>
  <si>
    <t>Cervical cancer: 0.10</t>
  </si>
  <si>
    <t>Maternal abortion and miscarriage: 0</t>
  </si>
  <si>
    <t>HIV/AIDS: 0.03</t>
  </si>
  <si>
    <t>HIV/AIDS and sexually transmitted infections: 0.22; Acute hepatitis B: 0.22; Acute hepatitis C: 0.22; Cirrhosis and other chronic liver diseases due to hepatitis B: 0.22; Cirrhosis and other chronic liver diseases due to hepatitis C: 0.22; Liver cancer due to hepatitis B: 0.22; Liver cancer due to hepatitis C: 0.22</t>
  </si>
  <si>
    <t>Acute hepatitis B: 0.08; Cirrhosis and other chronic liver diseases due to hepatitis B: 0.08; Liver cancer due to hepatitis B: 0.08</t>
  </si>
  <si>
    <t>Maternal sepsis and other maternal infections: 0; Indirect maternal deaths: 0; Late maternal deaths: 0; Neonatal preterm birth: 0; Neonatal sepsis and other neonatal infections: 0</t>
  </si>
  <si>
    <t>Malaria: 1, Dengue: 1; Zika: 1; Encephalitis: 1; Yellow fever: 1</t>
  </si>
  <si>
    <t>Typhoid and paratyphoid: 0; Dengue: 0; Yellow fever: 0; Encephalitis: 0</t>
  </si>
  <si>
    <t>Chronic obstructive pulmonary disease: 0.25; Asthma: 0.25</t>
  </si>
  <si>
    <t>Ischemic heart disease: 0.004</t>
  </si>
  <si>
    <t>Chronic kidney disease: 0.09</t>
  </si>
  <si>
    <t>Diabetes mellitus: 1</t>
  </si>
  <si>
    <t>Rheumatic heart disease: 0</t>
  </si>
  <si>
    <t>Cardiovascular diseases: 0; Lip and oral cavity cancer: 0; Nasopharynx cancer: 0; Other pharynx cancer: 0; Esophageal cancer: 0; Stomach cancer: 0; Pancreatic cancer: 0; Larynx cancer: 0; Tracheal, bronchus, and lung cancer: 0; Cervical cancer: 0; Acute myeloid leukemia: 0</t>
  </si>
  <si>
    <t>Bipolar disorder: 0.007</t>
  </si>
  <si>
    <t>Epilepsy: 0.03</t>
  </si>
  <si>
    <t>Schizophrenia: 0.00</t>
  </si>
  <si>
    <t>Alcohol use disorders: 1; Liver cancer due to alcohol use: 1; Alcoholic cardiomyopathy: 1; Cirrhosis and other chronic liver diseases due to alcohol use: 1</t>
  </si>
  <si>
    <t>Other musculoskeletal disorders: 0.10</t>
  </si>
  <si>
    <t>Caries of deciduous teeth: 1; Caries of permanent teeth: 1; Periodontal diseases: 1</t>
  </si>
  <si>
    <t>Caries of deciduous teeth: 1; Caries of permanent teeth: 1</t>
  </si>
  <si>
    <t>Musculoskeletal disorders: 0; Transport injuries: 0; Unintentional injuries: 0; Exposure to forces of nature: 0; Other unintentional injuries: 0; Exposure to mechanical forces: 0; Foreign body: 0; Self-harm and interpersonal violence: 0</t>
  </si>
  <si>
    <t>Depressive disorders: 0.12; Anxiety disorders: 0.12</t>
  </si>
  <si>
    <t>Maternal abortion and miscarriage: 0.00</t>
  </si>
  <si>
    <t>HIV/AIDS; Syphilis: 1</t>
  </si>
  <si>
    <t>Maternal hypertensive disorders: 0.00</t>
  </si>
  <si>
    <t>Diarrheal diseases: 0.007; Acute hepatitis A: 0.007; Acute hepatitis E: 0.007; Chronic respiratory diseases: 0.007</t>
  </si>
  <si>
    <t>Tuberculosis: 0.08</t>
  </si>
  <si>
    <t>Chagas disease: 0.002; Dengue: 0.002; Visceral leishmaniasis: 0.002; Typhoid and paratyphoid: 0.002; Yellow fever: 0.002; Encephalitis: 0.002</t>
  </si>
  <si>
    <t>Neonatal disorders: 0.06</t>
  </si>
  <si>
    <t>Orofacial clefts: 1</t>
  </si>
  <si>
    <t>Congenital musculoskeletal and limb anomalies: 1</t>
  </si>
  <si>
    <t>Digestive congenital anomalies: 0.23</t>
  </si>
  <si>
    <t>Other maternal disorders: 1; Maternal obstructed labor and uterine rupture: 1; Late maternal deaths: 1</t>
  </si>
  <si>
    <t>Other neurological disorders: 1</t>
  </si>
  <si>
    <t>Tuberculosis: 0.27</t>
  </si>
  <si>
    <t>Diabetes mellitus: 0.08; Hypertensive heart disease: 0.08; Age-related macular degeneration: 0.08; Other vision loss: 0.08</t>
  </si>
  <si>
    <t>Brain and nervous system cancer: 0; Hodgkin lymphoma: 0; Acute lymphoid leukemia: 0; Other leukemia: 0; Kidney cancer: 0; Other malignant neoplasms: 0</t>
  </si>
  <si>
    <t>Cardiovascular diseases: 0.15; Chronic kidney disease: 0.15</t>
  </si>
  <si>
    <t>Cardiovascular diseases: 0; Chronic kidney disease: 0</t>
  </si>
  <si>
    <t>Depressive disorders: 0.03; Anxiety disorders: 0.03</t>
  </si>
  <si>
    <t>Chronic obstructive pulmonary disease: 1; Asthma: 1</t>
  </si>
  <si>
    <t>Costs adjusted to CIV health workforce salaries times inflation</t>
  </si>
  <si>
    <t>Costs adjusted to CIV health workforce salaries</t>
  </si>
  <si>
    <t>Unit cost (USD)</t>
  </si>
  <si>
    <t>Total intervention cost (USD)</t>
  </si>
  <si>
    <t xml:space="preserve">Causes of burden (max coverage) </t>
  </si>
  <si>
    <t>Total spending (USD)</t>
  </si>
  <si>
    <t>Adults 15-60</t>
  </si>
  <si>
    <t>Review responsibility</t>
  </si>
  <si>
    <t>Notes</t>
  </si>
  <si>
    <t>DD</t>
  </si>
  <si>
    <t>IS</t>
  </si>
  <si>
    <t>TW</t>
  </si>
  <si>
    <t>Changed ICER to 150 based on platform</t>
  </si>
  <si>
    <t>Changed ICER based on platform</t>
  </si>
  <si>
    <t>ICER was  blank so added based on platform</t>
  </si>
  <si>
    <t>Platform changed from HC to FLH</t>
  </si>
  <si>
    <t xml:space="preserve">% increase in actual to target coverage for NCDs </t>
  </si>
  <si>
    <t>changed ICER</t>
  </si>
  <si>
    <t>changed platform</t>
  </si>
  <si>
    <t>changed ICER, changed platform</t>
  </si>
  <si>
    <t>changed coverage rate</t>
  </si>
  <si>
    <t>coverage manually changed</t>
  </si>
  <si>
    <t>changed coverage</t>
  </si>
  <si>
    <t>Depense pour l'intervention (FCFA, calculé par L*O*Q)</t>
  </si>
  <si>
    <t>Not sure why we excluded this? Can we select a target pop'n for it? What % of malaria cases does it address?</t>
  </si>
  <si>
    <t>Can we estimate target population?</t>
  </si>
  <si>
    <t>Comments 9/24</t>
  </si>
  <si>
    <t>Inserted target population https://hpvcentre.net/statistics/reports/CIV_FS.pdf</t>
  </si>
  <si>
    <t>modified unit cost bcs significant outlier</t>
  </si>
  <si>
    <t>no unit costs on tool; check if Zim has a unit cost?</t>
  </si>
  <si>
    <t>entered case number</t>
  </si>
  <si>
    <t>changed intervention info w/PPH</t>
  </si>
  <si>
    <t>now under hysterectomy</t>
  </si>
  <si>
    <t>UPLOAD THIS ONE</t>
  </si>
  <si>
    <t>Maternal abortion and miscarriage: 1</t>
  </si>
  <si>
    <t>Cardiovascular diseases: 1</t>
  </si>
  <si>
    <t>Appendicitis: 1</t>
  </si>
  <si>
    <t>Inguinal, femoral, and abdominal hernia: 1</t>
  </si>
  <si>
    <t>Fire, heat, and hot substances: 0.02; Lymphatic filariasis: 0.02</t>
  </si>
  <si>
    <t>Nutritional deficiencies: 0.6; Malaria: 0.06; Measles: 0.06; Lower respiratory infections: 0.06; Upper respiratory infections: 0.06; Diarrheal diseases: 0.06</t>
  </si>
  <si>
    <t>HIV/AIDS: 0.04</t>
  </si>
  <si>
    <t>HIV/AIDS and sexually transmitted infections: 0.92; Acute hepatitis B: 0.92; Acute hepatitis C: 0.92; Cirrhosis and other chronic liver diseases due to hepatitis B: 0.92; Cirrhosis and other chronic liver diseases due to hepatitis C: 0.92; Liver cancer due to hepatitis B: 0.92; Liver cancer due to hepatitis C: 0.92</t>
  </si>
  <si>
    <t>Cardiovascular diseases: 0.92; Chronic kidney disease: 0.92</t>
  </si>
  <si>
    <t>Cardiovascular diseases: 0.10; Chronic kidney disease: 0.10</t>
  </si>
  <si>
    <t>Depressive disorders: 0.08; Anxiety disorders: 0.08</t>
  </si>
  <si>
    <t>Diarrheal diseases: 0.03; Acute hepatitis A: 0.03; Acute hepatitis E: 0.03; Chronic respiratory diseases: 0.03</t>
  </si>
  <si>
    <t>Other maternal disorders: 0.65; Maternal obstructed labor and uterine rupture: 0.65; Late maternal deaths: 0.65</t>
  </si>
  <si>
    <t>Malaria; Dengue; Zika virus; Encephalitis; Yellow fever</t>
  </si>
  <si>
    <t>Malaria: 0; Dengue: 0; Zika virus: 0; Encephalitis: 0; Yellow fever: 0</t>
  </si>
  <si>
    <t>Lower respiratory infections; Urinary tract infections; Diarrheal diseases; Malaria; HIV/AIDS; Drug-susceptible tuberculosis; Multidrug-resistant tuberculosis without extensive drug resistance; Extensively drug-resistant tuberculosis; Zika virus; Dengue; Ebola</t>
  </si>
  <si>
    <t>Lower respiratory infections: 0; Urinary tract infections: 0; Diarrheal diseases: 0; Malaria: 0; HIV/AIDS: 0; Drug-susceptible tuberculosis: 0; Multidrug-resistant tuberculosis without extensive drug resistance: 0; Extensively drug-resistant tuberculosis: 0; Zika virus: 0; Dengue: 0; Ebola: 0</t>
  </si>
  <si>
    <t>Malaria, Dengue; Zika virus; Encephalitis; Yellow fever</t>
  </si>
  <si>
    <t>Chronic obstructive pulmonary disease: 0.47; Asthma: 0.47</t>
  </si>
  <si>
    <t>Maternal and neonatal disorders: 0.00032</t>
  </si>
  <si>
    <t>Pneumococcal meningitis: 0.1397</t>
  </si>
  <si>
    <t>Vitamin A deficiency: 0.06; Other nutritional deficiencies: 0.06</t>
  </si>
  <si>
    <t>HIV/AIDS and sexually transmitted infections: 0.905251738469226</t>
  </si>
  <si>
    <t>Malaria: 0.004; Diarrheal diseases: 0.004; Lower respiratory infections: 0.004</t>
  </si>
  <si>
    <t>Maternal abortion and miscarriage: 0.305; Indirect maternal deaths: 0.305; Late maternal deaths: 0.305; Ectopic pregnancy: 0.305</t>
  </si>
  <si>
    <t>Maternal abortion and miscarriage: 0.2678; Indirect maternal deaths: 0.2678; Late maternal deaths: 0.2678; Ectopic pregnancy: 0.2678</t>
  </si>
  <si>
    <t>Multidrug-resistant tuberculosis without extensive drug resistance: 0.835; HIV/AIDS - Multidrug-resistant Tuberculosis without extensive drug resistance: 0.835</t>
  </si>
  <si>
    <t>Substance use disorders: 0.002; Poisonings: 0.002; Venomous animal contact: 0.002</t>
  </si>
  <si>
    <t>Transport injuries: 0.45; Unintentional injuries: 0.45; Exposure to forces of nature: 0.45; Other unintentional injuries: 0.45; Exposure to mechanical forces: 0.45; Foreign body: 0.45; Self-harm and interpersonal violence: 0.45</t>
  </si>
  <si>
    <t>Transport injuries: 0.14; Unintentional injuries: 0.14; Exposure to forces of nature: 0.14; Other unintentional injuries: 0.14; Exposure to mechanical forces: 0.14; Foreign body: 0.14; Self-harm and interpersonal violence: 0.14</t>
  </si>
  <si>
    <t>Peptic ulcer disease: 0.77; Other intestinal infectious diseases: 0.77; Paralytic ileus and intestinal obstruction: 0.77</t>
  </si>
  <si>
    <t>Fire, heat, and hot substances: 1; Malignant skin melanoma: 1; Decubitus ulcer: 1</t>
  </si>
  <si>
    <t>Depressive disorders: 0.007; Bipolar disorder: 0.007; Anxiety disorders: 0.007; Attention-deficit/hyperactivity disorder: 0.007; Conduct disorder: 0.007</t>
  </si>
  <si>
    <t>Sexually transmitted infections excluding HIV: 1</t>
  </si>
  <si>
    <t>Acute hepatitis B: 0.03; Cirrhosis and other chronic liver diseases due to hepatitis B: 0.03; Liver cancer due to hepatitis B: 0.03</t>
  </si>
  <si>
    <t>Chronic obstructive pulmonary disease: 0.09; Asthma: 0.09</t>
  </si>
  <si>
    <t>HIV/AIDS and sexually transmitted infections: 0.05</t>
  </si>
  <si>
    <t>Alcohol use disorders: 0.006; Liver cancer due to alcohol use: 0.006; Alcoholic cardiomyopathy: 0.006; Cirrhosis and other chronic liver diseases due to alcohol use: 0.006</t>
  </si>
  <si>
    <t>Bacterial skin diseases: 1</t>
  </si>
  <si>
    <t>HIV/AIDS: 1; Syphilis: 1</t>
  </si>
  <si>
    <t>Digestive congenital anomalies: 0.04</t>
  </si>
  <si>
    <t>Other neurological disorders: 0.005</t>
  </si>
  <si>
    <t>Diabetes mellitus: 0.03; Hypertensive heart disease: 0.03; Age-related macular degeneration: 0.03; Other vision loss: 0.03</t>
  </si>
  <si>
    <t>Malaria: 1; Dengue: 1; Zika virus: 1; Encephalitis: 1; Yellow fever: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</si>
</sst>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R&quot;* #,##0.00_);_(&quot;R&quot;* \(#,##0.00\);_(&quot;R&quot;* &quot;-&quot;??_);_(@_)"/>
    <numFmt numFmtId="165" formatCode="_(* #,##0_);_(* \(#,##0\);_(* &quot;-&quot;??_);_(@_)"/>
    <numFmt numFmtId="166" formatCode="#\ ###\ ###\ ##0;\-#\ ###\ ###\ ##0;0"/>
    <numFmt numFmtId="167" formatCode="_(* #,##0.0_);_(* \(#,##0.0\);_(* &quot;-&quot;??_);_(@_)"/>
    <numFmt numFmtId="168" formatCode="_([$$-409]* #,##0.00_);_([$$-409]* \(#,##0.00\);_([$$-409]* &quot;-&quot;??_);_(@_)"/>
    <numFmt numFmtId="169" formatCode="_([$CFA-300C]* #,##0_);_([$CFA-300C]* \(#,##0\);_([$CFA-300C]* &quot;-&quot;_);_(@_)"/>
    <numFmt numFmtId="170" formatCode="_(* #,##0.000_);_(* \(#,##0.000\);_(* &quot;-&quot;??_);_(@_)"/>
  </numFmts>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sz val="11"/>
      <color theme="1"/>
      <name val="Calibri"/>
      <family val="2"/>
      <scheme val="minor"/>
    </font>
    <font>
      <sz val="11"/>
      <color theme="1"/>
      <name val="Calibri"/>
      <family val="2"/>
    </font>
    <font>
      <b/>
      <sz val="11"/>
      <color rgb="FFFF0000"/>
      <name val="Calibri"/>
      <family val="2"/>
      <scheme val="minor"/>
    </font>
    <font>
      <b/>
      <sz val="8"/>
      <color rgb="FF000000"/>
      <name val="Arial Unicode MS"/>
      <family val="2"/>
    </font>
    <font>
      <sz val="8"/>
      <color rgb="FF000000"/>
      <name val="Arial Unicode MS"/>
      <family val="2"/>
    </font>
    <font>
      <sz val="8"/>
      <color rgb="FFFF0000"/>
      <name val="Arial Unicode MS"/>
      <family val="2"/>
    </font>
    <font>
      <i/>
      <sz val="8"/>
      <color rgb="FF000000"/>
      <name val="Arial Unicode MS"/>
      <family val="2"/>
    </font>
    <font>
      <b/>
      <sz val="11"/>
      <color rgb="FFFF0000"/>
      <name val="Calibri"/>
      <family val="2"/>
    </font>
    <font>
      <sz val="11"/>
      <color rgb="FF000000"/>
      <name val="Calibri"/>
      <family val="2"/>
    </font>
    <font>
      <sz val="11"/>
      <color rgb="FFFF0000"/>
      <name val="Calibri"/>
      <family val="2"/>
    </font>
    <font>
      <b/>
      <sz val="11"/>
      <color rgb="FF000000"/>
      <name val="Calibri"/>
      <family val="2"/>
    </font>
    <font>
      <sz val="10"/>
      <color rgb="FF000000"/>
      <name val="Tahoma"/>
      <family val="2"/>
    </font>
    <font>
      <b/>
      <sz val="10"/>
      <color rgb="FF000000"/>
      <name val="Tahoma"/>
      <family val="2"/>
    </font>
    <font>
      <sz val="9"/>
      <color theme="1"/>
      <name val="Arial"/>
      <family val="2"/>
    </font>
    <font>
      <b/>
      <sz val="9"/>
      <color theme="1"/>
      <name val="Arial"/>
      <family val="2"/>
    </font>
    <font>
      <u/>
      <sz val="11"/>
      <color theme="10"/>
      <name val="Calibri"/>
      <family val="2"/>
      <scheme val="minor"/>
    </font>
    <font>
      <b/>
      <sz val="11"/>
      <color theme="1"/>
      <name val="Calibri"/>
      <family val="2"/>
      <scheme val="minor"/>
    </font>
    <font>
      <b/>
      <sz val="10"/>
      <name val="Arial"/>
      <family val="2"/>
    </font>
    <font>
      <sz val="18"/>
      <color theme="1"/>
      <name val="Calibri"/>
      <family val="2"/>
      <scheme val="minor"/>
    </font>
    <font>
      <b/>
      <sz val="10"/>
      <color rgb="FF000000"/>
      <name val="Calibri"/>
      <family val="2"/>
    </font>
    <font>
      <sz val="10"/>
      <color rgb="FF000000"/>
      <name val="Calibri"/>
      <family val="2"/>
    </font>
  </fonts>
  <fills count="20">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D9D9D9"/>
        <bgColor indexed="64"/>
      </patternFill>
    </fill>
    <fill>
      <patternFill patternType="solid">
        <fgColor rgb="FFFFFFFF"/>
        <bgColor indexed="64"/>
      </patternFill>
    </fill>
    <fill>
      <patternFill patternType="solid">
        <fgColor rgb="FFC0C0C0"/>
        <bgColor indexed="64"/>
      </patternFill>
    </fill>
    <fill>
      <patternFill patternType="solid">
        <fgColor indexed="4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4" tint="0.7999816888943144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0066"/>
        <bgColor indexed="64"/>
      </patternFill>
    </fill>
    <fill>
      <patternFill patternType="solid">
        <fgColor theme="3" tint="0.39997558519241921"/>
        <bgColor indexed="64"/>
      </patternFill>
    </fill>
    <fill>
      <patternFill patternType="solid">
        <fgColor theme="7" tint="0.39997558519241921"/>
        <bgColor indexed="64"/>
      </patternFill>
    </fill>
  </fills>
  <borders count="48">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style="thin">
        <color rgb="FF000000"/>
      </top>
      <bottom style="thin">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right style="thin">
        <color rgb="FF000000"/>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9">
    <xf numFmtId="0" fontId="0" fillId="0" borderId="0"/>
    <xf numFmtId="0" fontId="3" fillId="0" borderId="0"/>
    <xf numFmtId="43" fontId="8" fillId="0" borderId="0" applyFont="0" applyFill="0" applyBorder="0" applyAlignment="0" applyProtection="0"/>
    <xf numFmtId="9" fontId="8" fillId="0" borderId="0" applyFont="0" applyFill="0" applyBorder="0" applyAlignment="0" applyProtection="0"/>
    <xf numFmtId="0" fontId="23" fillId="0" borderId="0" applyNumberFormat="0" applyFill="0" applyBorder="0" applyAlignment="0" applyProtection="0"/>
    <xf numFmtId="164" fontId="8" fillId="0" borderId="0" applyFont="0" applyFill="0" applyBorder="0" applyAlignment="0" applyProtection="0"/>
    <xf numFmtId="0" fontId="2" fillId="0" borderId="0"/>
    <xf numFmtId="43" fontId="2" fillId="0" borderId="0" applyFont="0" applyFill="0" applyBorder="0" applyAlignment="0" applyProtection="0"/>
    <xf numFmtId="0" fontId="8" fillId="0" borderId="0"/>
  </cellStyleXfs>
  <cellXfs count="230">
    <xf numFmtId="0" fontId="0" fillId="0" borderId="0" xfId="0"/>
    <xf numFmtId="0" fontId="0" fillId="0" borderId="0" xfId="0"/>
    <xf numFmtId="0" fontId="0" fillId="0" borderId="0" xfId="0" applyAlignment="1">
      <alignment wrapText="1"/>
    </xf>
    <xf numFmtId="0" fontId="4" fillId="0" borderId="0" xfId="1" applyFont="1"/>
    <xf numFmtId="0" fontId="3" fillId="0" borderId="0" xfId="1"/>
    <xf numFmtId="0" fontId="4" fillId="2" borderId="1" xfId="0" applyFont="1" applyFill="1" applyBorder="1" applyAlignment="1">
      <alignment vertical="center" wrapText="1"/>
    </xf>
    <xf numFmtId="0" fontId="0" fillId="3" borderId="0" xfId="0" applyFill="1" applyAlignment="1">
      <alignment wrapText="1"/>
    </xf>
    <xf numFmtId="9" fontId="0" fillId="0" borderId="0" xfId="0" applyNumberFormat="1"/>
    <xf numFmtId="10" fontId="0" fillId="0" borderId="0" xfId="0" applyNumberFormat="1"/>
    <xf numFmtId="0" fontId="6" fillId="0" borderId="2" xfId="0" applyFont="1" applyBorder="1" applyAlignment="1">
      <alignment vertical="center" wrapText="1"/>
    </xf>
    <xf numFmtId="0" fontId="6" fillId="0" borderId="3" xfId="0" applyFont="1" applyBorder="1" applyAlignment="1">
      <alignment vertical="center" wrapText="1"/>
    </xf>
    <xf numFmtId="0" fontId="5" fillId="0" borderId="4" xfId="0" applyFont="1" applyBorder="1" applyAlignment="1">
      <alignment vertical="center"/>
    </xf>
    <xf numFmtId="0" fontId="5" fillId="0" borderId="5" xfId="0" applyFont="1" applyBorder="1" applyAlignment="1">
      <alignment horizontal="center" vertical="center"/>
    </xf>
    <xf numFmtId="3" fontId="5" fillId="0" borderId="5" xfId="0" applyNumberFormat="1" applyFont="1" applyBorder="1" applyAlignment="1">
      <alignment horizontal="center" vertical="center"/>
    </xf>
    <xf numFmtId="0" fontId="6" fillId="0" borderId="4" xfId="0" applyFont="1" applyBorder="1" applyAlignment="1">
      <alignment vertical="center"/>
    </xf>
    <xf numFmtId="0" fontId="5" fillId="0" borderId="5" xfId="0" applyFont="1" applyBorder="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3" fontId="0" fillId="0" borderId="0" xfId="0" applyNumberFormat="1" applyAlignment="1">
      <alignment wrapText="1"/>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vertical="center" wrapText="1"/>
    </xf>
    <xf numFmtId="0" fontId="0" fillId="0" borderId="0" xfId="0" applyAlignment="1">
      <alignment horizontal="center" vertical="center"/>
    </xf>
    <xf numFmtId="3" fontId="0" fillId="0" borderId="0" xfId="0" applyNumberFormat="1"/>
    <xf numFmtId="0" fontId="7" fillId="0" borderId="0" xfId="0" applyFont="1"/>
    <xf numFmtId="0" fontId="0" fillId="3" borderId="0" xfId="0" applyFill="1"/>
    <xf numFmtId="0" fontId="0" fillId="0" borderId="0" xfId="0" applyFill="1"/>
    <xf numFmtId="0" fontId="0" fillId="0" borderId="0" xfId="0" applyFill="1" applyAlignment="1">
      <alignment wrapText="1"/>
    </xf>
    <xf numFmtId="9" fontId="0" fillId="0" borderId="0" xfId="0" applyNumberFormat="1" applyFill="1" applyAlignment="1">
      <alignment wrapText="1"/>
    </xf>
    <xf numFmtId="0" fontId="4" fillId="0" borderId="0" xfId="0" applyFont="1"/>
    <xf numFmtId="0" fontId="10" fillId="0" borderId="0" xfId="0" applyFont="1" applyAlignment="1">
      <alignment wrapText="1"/>
    </xf>
    <xf numFmtId="0" fontId="4" fillId="2" borderId="1" xfId="0" applyFont="1" applyFill="1" applyBorder="1" applyAlignment="1">
      <alignment wrapText="1"/>
    </xf>
    <xf numFmtId="0" fontId="11" fillId="4" borderId="9" xfId="0" applyFont="1" applyFill="1" applyBorder="1" applyAlignment="1">
      <alignment horizontal="right" vertical="top"/>
    </xf>
    <xf numFmtId="0" fontId="12" fillId="5" borderId="0" xfId="0" applyFont="1" applyFill="1" applyAlignment="1">
      <alignment horizontal="right" vertical="top"/>
    </xf>
    <xf numFmtId="0" fontId="11" fillId="4" borderId="10" xfId="0" applyFont="1" applyFill="1" applyBorder="1" applyAlignment="1">
      <alignment horizontal="right" vertical="top"/>
    </xf>
    <xf numFmtId="0" fontId="11" fillId="5" borderId="10" xfId="0" applyFont="1" applyFill="1" applyBorder="1" applyAlignment="1">
      <alignment horizontal="right" vertical="top"/>
    </xf>
    <xf numFmtId="0" fontId="12" fillId="5" borderId="11" xfId="0" applyFont="1" applyFill="1" applyBorder="1" applyAlignment="1">
      <alignment horizontal="right" vertical="top"/>
    </xf>
    <xf numFmtId="0" fontId="12" fillId="4" borderId="11" xfId="0" applyFont="1" applyFill="1" applyBorder="1" applyAlignment="1">
      <alignment horizontal="right" vertical="top"/>
    </xf>
    <xf numFmtId="0" fontId="13" fillId="5" borderId="11" xfId="0" applyFont="1" applyFill="1" applyBorder="1" applyAlignment="1">
      <alignment horizontal="right" vertical="top"/>
    </xf>
    <xf numFmtId="0" fontId="12" fillId="4" borderId="12" xfId="0" applyFont="1" applyFill="1" applyBorder="1" applyAlignment="1">
      <alignment horizontal="right" vertical="top"/>
    </xf>
    <xf numFmtId="0" fontId="13" fillId="4" borderId="11" xfId="0" applyFont="1" applyFill="1" applyBorder="1" applyAlignment="1">
      <alignment horizontal="right" vertical="top"/>
    </xf>
    <xf numFmtId="0" fontId="12" fillId="0" borderId="0" xfId="0" applyFont="1" applyAlignment="1">
      <alignment horizontal="left" vertical="top"/>
    </xf>
    <xf numFmtId="0" fontId="12" fillId="6" borderId="14" xfId="0" applyFont="1" applyFill="1" applyBorder="1" applyAlignment="1">
      <alignment horizontal="left" vertical="top"/>
    </xf>
    <xf numFmtId="0" fontId="12" fillId="6" borderId="15" xfId="0" applyFont="1" applyFill="1" applyBorder="1" applyAlignment="1">
      <alignment horizontal="left" vertical="top"/>
    </xf>
    <xf numFmtId="0" fontId="11" fillId="6" borderId="17" xfId="0" applyFont="1" applyFill="1" applyBorder="1" applyAlignment="1">
      <alignment horizontal="left" vertical="top" wrapText="1"/>
    </xf>
    <xf numFmtId="0" fontId="12" fillId="6" borderId="15" xfId="0" applyFont="1" applyFill="1" applyBorder="1" applyAlignment="1">
      <alignment horizontal="left" vertical="top" wrapText="1"/>
    </xf>
    <xf numFmtId="0" fontId="12" fillId="6" borderId="18" xfId="0" applyFont="1" applyFill="1" applyBorder="1" applyAlignment="1">
      <alignment horizontal="left" vertical="top" wrapText="1"/>
    </xf>
    <xf numFmtId="0" fontId="11" fillId="6" borderId="19" xfId="0" applyFont="1" applyFill="1" applyBorder="1" applyAlignment="1">
      <alignment horizontal="left" vertical="top"/>
    </xf>
    <xf numFmtId="0" fontId="12" fillId="6" borderId="20" xfId="0" applyFont="1" applyFill="1" applyBorder="1" applyAlignment="1">
      <alignment horizontal="left" vertical="top"/>
    </xf>
    <xf numFmtId="0" fontId="12" fillId="6" borderId="0" xfId="0" applyFont="1" applyFill="1" applyAlignment="1">
      <alignment horizontal="left" vertical="top"/>
    </xf>
    <xf numFmtId="0" fontId="11" fillId="6" borderId="10" xfId="0" applyFont="1" applyFill="1" applyBorder="1" applyAlignment="1">
      <alignment horizontal="left" vertical="top" wrapText="1"/>
    </xf>
    <xf numFmtId="0" fontId="12" fillId="6" borderId="0" xfId="0" applyFont="1" applyFill="1" applyAlignment="1">
      <alignment horizontal="left" vertical="top" wrapText="1"/>
    </xf>
    <xf numFmtId="0" fontId="12" fillId="6" borderId="22" xfId="0" applyFont="1" applyFill="1" applyBorder="1" applyAlignment="1">
      <alignment horizontal="left" vertical="top" wrapText="1"/>
    </xf>
    <xf numFmtId="0" fontId="12" fillId="6" borderId="11" xfId="0" applyFont="1" applyFill="1" applyBorder="1" applyAlignment="1">
      <alignment horizontal="left" vertical="top"/>
    </xf>
    <xf numFmtId="0" fontId="14" fillId="6" borderId="0" xfId="0" applyFont="1" applyFill="1" applyAlignment="1">
      <alignment horizontal="center" vertical="center"/>
    </xf>
    <xf numFmtId="0" fontId="11" fillId="6" borderId="25" xfId="0" applyFont="1" applyFill="1" applyBorder="1" applyAlignment="1">
      <alignment horizontal="left" wrapText="1"/>
    </xf>
    <xf numFmtId="0" fontId="12" fillId="6" borderId="24" xfId="0" applyFont="1" applyFill="1" applyBorder="1" applyAlignment="1">
      <alignment horizontal="left" wrapText="1"/>
    </xf>
    <xf numFmtId="0" fontId="12" fillId="6" borderId="26" xfId="0" applyFont="1" applyFill="1" applyBorder="1" applyAlignment="1">
      <alignment horizontal="left" wrapText="1"/>
    </xf>
    <xf numFmtId="0" fontId="11" fillId="4" borderId="27" xfId="0" applyFont="1" applyFill="1" applyBorder="1" applyAlignment="1">
      <alignment horizontal="left" vertical="top" wrapText="1"/>
    </xf>
    <xf numFmtId="0" fontId="11" fillId="4" borderId="28" xfId="0" applyFont="1" applyFill="1" applyBorder="1" applyAlignment="1">
      <alignment horizontal="left" vertical="top" wrapText="1"/>
    </xf>
    <xf numFmtId="0" fontId="11" fillId="4" borderId="29" xfId="0" applyFont="1" applyFill="1" applyBorder="1" applyAlignment="1">
      <alignment horizontal="left" vertical="top"/>
    </xf>
    <xf numFmtId="0" fontId="11" fillId="4" borderId="28" xfId="0" applyFont="1" applyFill="1" applyBorder="1" applyAlignment="1">
      <alignment horizontal="right" vertical="top"/>
    </xf>
    <xf numFmtId="0" fontId="11" fillId="4" borderId="28" xfId="0" applyFont="1" applyFill="1" applyBorder="1" applyAlignment="1">
      <alignment horizontal="left" vertical="top"/>
    </xf>
    <xf numFmtId="0" fontId="11" fillId="4" borderId="9" xfId="0" applyFont="1" applyFill="1" applyBorder="1" applyAlignment="1">
      <alignment horizontal="left" vertical="top"/>
    </xf>
    <xf numFmtId="0" fontId="11" fillId="4" borderId="30" xfId="0" applyFont="1" applyFill="1" applyBorder="1" applyAlignment="1">
      <alignment horizontal="left" vertical="top"/>
    </xf>
    <xf numFmtId="0" fontId="12" fillId="5" borderId="20" xfId="0" applyFont="1" applyFill="1" applyBorder="1" applyAlignment="1">
      <alignment horizontal="left" vertical="top" wrapText="1"/>
    </xf>
    <xf numFmtId="0" fontId="12" fillId="5" borderId="0" xfId="0" applyFont="1" applyFill="1" applyAlignment="1">
      <alignment horizontal="left" vertical="top" wrapText="1"/>
    </xf>
    <xf numFmtId="0" fontId="12" fillId="5" borderId="21" xfId="0" applyFont="1" applyFill="1" applyBorder="1" applyAlignment="1">
      <alignment horizontal="left" vertical="top"/>
    </xf>
    <xf numFmtId="0" fontId="12" fillId="5" borderId="0" xfId="0" applyFont="1" applyFill="1" applyAlignment="1">
      <alignment horizontal="left" vertical="top"/>
    </xf>
    <xf numFmtId="0" fontId="11" fillId="5" borderId="10" xfId="0" applyFont="1" applyFill="1" applyBorder="1" applyAlignment="1">
      <alignment horizontal="left" vertical="top"/>
    </xf>
    <xf numFmtId="0" fontId="12" fillId="5" borderId="22" xfId="0" applyFont="1" applyFill="1" applyBorder="1" applyAlignment="1">
      <alignment horizontal="left" vertical="top"/>
    </xf>
    <xf numFmtId="0" fontId="12" fillId="5" borderId="31" xfId="0" applyFont="1" applyFill="1" applyBorder="1" applyAlignment="1">
      <alignment horizontal="right" vertical="top"/>
    </xf>
    <xf numFmtId="0" fontId="12" fillId="4" borderId="20" xfId="0" applyFont="1" applyFill="1" applyBorder="1" applyAlignment="1">
      <alignment horizontal="left" vertical="top" wrapText="1"/>
    </xf>
    <xf numFmtId="0" fontId="12" fillId="4" borderId="0" xfId="0" applyFont="1" applyFill="1" applyAlignment="1">
      <alignment horizontal="left" vertical="top" wrapText="1"/>
    </xf>
    <xf numFmtId="0" fontId="12" fillId="4" borderId="21" xfId="0" applyFont="1" applyFill="1" applyBorder="1" applyAlignment="1">
      <alignment horizontal="left" vertical="top"/>
    </xf>
    <xf numFmtId="0" fontId="12" fillId="4" borderId="0" xfId="0" applyFont="1" applyFill="1" applyAlignment="1">
      <alignment horizontal="right" vertical="top"/>
    </xf>
    <xf numFmtId="0" fontId="12" fillId="4" borderId="0" xfId="0" applyFont="1" applyFill="1" applyAlignment="1">
      <alignment horizontal="left" vertical="top"/>
    </xf>
    <xf numFmtId="0" fontId="11" fillId="4" borderId="10" xfId="0" applyFont="1" applyFill="1" applyBorder="1" applyAlignment="1">
      <alignment horizontal="left" vertical="top"/>
    </xf>
    <xf numFmtId="0" fontId="12" fillId="4" borderId="22" xfId="0" applyFont="1" applyFill="1" applyBorder="1" applyAlignment="1">
      <alignment horizontal="left" vertical="top"/>
    </xf>
    <xf numFmtId="0" fontId="12" fillId="4" borderId="32" xfId="0" applyFont="1" applyFill="1" applyBorder="1" applyAlignment="1">
      <alignment horizontal="right" vertical="top"/>
    </xf>
    <xf numFmtId="0" fontId="11" fillId="5" borderId="27" xfId="0" applyFont="1" applyFill="1" applyBorder="1" applyAlignment="1">
      <alignment horizontal="left" vertical="top" wrapText="1"/>
    </xf>
    <xf numFmtId="0" fontId="11" fillId="5" borderId="28" xfId="0" applyFont="1" applyFill="1" applyBorder="1" applyAlignment="1">
      <alignment horizontal="left" vertical="top" wrapText="1"/>
    </xf>
    <xf numFmtId="0" fontId="11" fillId="5" borderId="29" xfId="0" applyFont="1" applyFill="1" applyBorder="1" applyAlignment="1">
      <alignment horizontal="left" vertical="top"/>
    </xf>
    <xf numFmtId="0" fontId="11" fillId="5" borderId="9" xfId="0" applyFont="1" applyFill="1" applyBorder="1" applyAlignment="1">
      <alignment horizontal="right" vertical="top"/>
    </xf>
    <xf numFmtId="0" fontId="11" fillId="5" borderId="28" xfId="0" applyFont="1" applyFill="1" applyBorder="1" applyAlignment="1">
      <alignment horizontal="right" vertical="top"/>
    </xf>
    <xf numFmtId="0" fontId="11" fillId="5" borderId="28" xfId="0" applyFont="1" applyFill="1" applyBorder="1" applyAlignment="1">
      <alignment horizontal="left" vertical="top"/>
    </xf>
    <xf numFmtId="0" fontId="11" fillId="5" borderId="9" xfId="0" applyFont="1" applyFill="1" applyBorder="1" applyAlignment="1">
      <alignment horizontal="left" vertical="top"/>
    </xf>
    <xf numFmtId="0" fontId="11" fillId="5" borderId="30" xfId="0" applyFont="1" applyFill="1" applyBorder="1" applyAlignment="1">
      <alignment horizontal="left" vertical="top"/>
    </xf>
    <xf numFmtId="0" fontId="12" fillId="5" borderId="12" xfId="0" applyFont="1" applyFill="1" applyBorder="1" applyAlignment="1">
      <alignment horizontal="right" vertical="top"/>
    </xf>
    <xf numFmtId="0" fontId="12" fillId="4" borderId="31" xfId="0" applyFont="1" applyFill="1" applyBorder="1" applyAlignment="1">
      <alignment horizontal="right" vertical="top"/>
    </xf>
    <xf numFmtId="0" fontId="12" fillId="5" borderId="32" xfId="0" applyFont="1" applyFill="1" applyBorder="1" applyAlignment="1">
      <alignment horizontal="right" vertical="top"/>
    </xf>
    <xf numFmtId="0" fontId="13" fillId="4" borderId="12" xfId="0" applyFont="1" applyFill="1" applyBorder="1" applyAlignment="1">
      <alignment horizontal="right" vertical="top"/>
    </xf>
    <xf numFmtId="0" fontId="11" fillId="5" borderId="30" xfId="0" applyFont="1" applyFill="1" applyBorder="1" applyAlignment="1">
      <alignment horizontal="right" vertical="top"/>
    </xf>
    <xf numFmtId="0" fontId="11" fillId="4" borderId="33" xfId="0" applyFont="1" applyFill="1" applyBorder="1" applyAlignment="1">
      <alignment horizontal="left" vertical="top" wrapText="1"/>
    </xf>
    <xf numFmtId="0" fontId="11" fillId="4" borderId="34" xfId="0" applyFont="1" applyFill="1" applyBorder="1" applyAlignment="1">
      <alignment horizontal="left" vertical="top" wrapText="1"/>
    </xf>
    <xf numFmtId="0" fontId="11" fillId="4" borderId="35" xfId="0" applyFont="1" applyFill="1" applyBorder="1" applyAlignment="1">
      <alignment horizontal="left" vertical="top"/>
    </xf>
    <xf numFmtId="0" fontId="11" fillId="4" borderId="36" xfId="0" applyFont="1" applyFill="1" applyBorder="1" applyAlignment="1">
      <alignment horizontal="right" vertical="top"/>
    </xf>
    <xf numFmtId="0" fontId="11" fillId="4" borderId="34" xfId="0" applyFont="1" applyFill="1" applyBorder="1" applyAlignment="1">
      <alignment horizontal="right" vertical="top"/>
    </xf>
    <xf numFmtId="0" fontId="11" fillId="4" borderId="34" xfId="0" applyFont="1" applyFill="1" applyBorder="1" applyAlignment="1">
      <alignment horizontal="left" vertical="top"/>
    </xf>
    <xf numFmtId="0" fontId="11" fillId="4" borderId="36" xfId="0" applyFont="1" applyFill="1" applyBorder="1" applyAlignment="1">
      <alignment horizontal="left" vertical="top"/>
    </xf>
    <xf numFmtId="0" fontId="11" fillId="4" borderId="37" xfId="0" applyFont="1" applyFill="1" applyBorder="1" applyAlignment="1">
      <alignment horizontal="left" vertical="top"/>
    </xf>
    <xf numFmtId="0" fontId="12" fillId="4" borderId="38" xfId="0" applyFont="1" applyFill="1" applyBorder="1" applyAlignment="1">
      <alignment horizontal="right" vertical="top"/>
    </xf>
    <xf numFmtId="0" fontId="11" fillId="5" borderId="39" xfId="0" applyFont="1" applyFill="1" applyBorder="1" applyAlignment="1">
      <alignment horizontal="left" vertical="top"/>
    </xf>
    <xf numFmtId="0" fontId="11" fillId="5" borderId="40" xfId="0" applyFont="1" applyFill="1" applyBorder="1" applyAlignment="1">
      <alignment horizontal="left" vertical="top"/>
    </xf>
    <xf numFmtId="0" fontId="12" fillId="5" borderId="41" xfId="0" applyFont="1" applyFill="1" applyBorder="1" applyAlignment="1">
      <alignment horizontal="right" vertical="top"/>
    </xf>
    <xf numFmtId="0" fontId="12" fillId="5" borderId="42" xfId="0" applyFont="1" applyFill="1" applyBorder="1" applyAlignment="1">
      <alignment horizontal="right" vertical="top"/>
    </xf>
    <xf numFmtId="0" fontId="12" fillId="5" borderId="40" xfId="0" applyFont="1" applyFill="1" applyBorder="1" applyAlignment="1">
      <alignment horizontal="right" vertical="top"/>
    </xf>
    <xf numFmtId="0" fontId="12" fillId="5" borderId="43" xfId="0" applyFont="1" applyFill="1" applyBorder="1" applyAlignment="1">
      <alignment horizontal="right" vertical="top"/>
    </xf>
    <xf numFmtId="0" fontId="12" fillId="5" borderId="44" xfId="0" applyFont="1" applyFill="1" applyBorder="1" applyAlignment="1">
      <alignment horizontal="right" vertical="top"/>
    </xf>
    <xf numFmtId="0" fontId="12" fillId="5" borderId="45" xfId="0" applyFont="1" applyFill="1" applyBorder="1" applyAlignment="1">
      <alignment horizontal="right" vertical="top"/>
    </xf>
    <xf numFmtId="165" fontId="15" fillId="0" borderId="0" xfId="2" applyNumberFormat="1" applyFont="1" applyAlignment="1">
      <alignment wrapText="1"/>
    </xf>
    <xf numFmtId="165" fontId="9" fillId="0" borderId="0" xfId="2" applyNumberFormat="1" applyFont="1"/>
    <xf numFmtId="165" fontId="9" fillId="0" borderId="0" xfId="2" applyNumberFormat="1" applyFont="1" applyFill="1" applyBorder="1"/>
    <xf numFmtId="165" fontId="15" fillId="0" borderId="0" xfId="2" applyNumberFormat="1" applyFont="1" applyFill="1" applyAlignment="1">
      <alignment wrapText="1"/>
    </xf>
    <xf numFmtId="165" fontId="9" fillId="0" borderId="0" xfId="2" applyNumberFormat="1" applyFont="1" applyFill="1"/>
    <xf numFmtId="165" fontId="16" fillId="0" borderId="11" xfId="2" applyNumberFormat="1" applyFont="1" applyFill="1" applyBorder="1" applyAlignment="1">
      <alignment horizontal="right" vertical="top"/>
    </xf>
    <xf numFmtId="165" fontId="17" fillId="0" borderId="11" xfId="2" applyNumberFormat="1" applyFont="1" applyFill="1" applyBorder="1" applyAlignment="1">
      <alignment horizontal="right" vertical="top"/>
    </xf>
    <xf numFmtId="165" fontId="16" fillId="0" borderId="0" xfId="2" applyNumberFormat="1" applyFont="1" applyFill="1" applyAlignment="1">
      <alignment horizontal="right" vertical="top"/>
    </xf>
    <xf numFmtId="165" fontId="18" fillId="0" borderId="10" xfId="2" applyNumberFormat="1" applyFont="1" applyFill="1" applyBorder="1" applyAlignment="1">
      <alignment horizontal="right" vertical="top"/>
    </xf>
    <xf numFmtId="165" fontId="16" fillId="0" borderId="12" xfId="2" applyNumberFormat="1" applyFont="1" applyFill="1" applyBorder="1" applyAlignment="1">
      <alignment horizontal="right" vertical="top"/>
    </xf>
    <xf numFmtId="165" fontId="18" fillId="0" borderId="9" xfId="2" applyNumberFormat="1" applyFont="1" applyFill="1" applyBorder="1" applyAlignment="1">
      <alignment horizontal="right" vertical="top"/>
    </xf>
    <xf numFmtId="3" fontId="0" fillId="3" borderId="0" xfId="0" applyNumberFormat="1" applyFill="1" applyAlignment="1">
      <alignment wrapText="1"/>
    </xf>
    <xf numFmtId="0" fontId="7" fillId="3" borderId="0" xfId="0" applyFont="1" applyFill="1" applyAlignment="1">
      <alignment wrapText="1"/>
    </xf>
    <xf numFmtId="0" fontId="0" fillId="0" borderId="0" xfId="0" applyNumberFormat="1" applyAlignment="1">
      <alignment wrapText="1"/>
    </xf>
    <xf numFmtId="0" fontId="0" fillId="0" borderId="0" xfId="0" applyNumberFormat="1"/>
    <xf numFmtId="0" fontId="0" fillId="0" borderId="0" xfId="0" applyNumberFormat="1" applyFill="1" applyAlignment="1">
      <alignment wrapText="1"/>
    </xf>
    <xf numFmtId="0" fontId="7" fillId="0" borderId="0" xfId="0" applyNumberFormat="1" applyFont="1" applyAlignment="1">
      <alignment wrapText="1"/>
    </xf>
    <xf numFmtId="165" fontId="0" fillId="0" borderId="0" xfId="2" applyNumberFormat="1" applyFont="1"/>
    <xf numFmtId="166" fontId="21" fillId="0" borderId="0" xfId="0" applyNumberFormat="1" applyFont="1" applyAlignment="1">
      <alignment horizontal="right"/>
    </xf>
    <xf numFmtId="9" fontId="0" fillId="3" borderId="0" xfId="0" applyNumberFormat="1" applyFill="1"/>
    <xf numFmtId="0" fontId="22" fillId="7" borderId="46" xfId="0" quotePrefix="1" applyFont="1" applyFill="1" applyBorder="1" applyAlignment="1">
      <alignment horizontal="center" vertical="center"/>
    </xf>
    <xf numFmtId="0" fontId="21" fillId="0" borderId="0" xfId="0" applyFont="1" applyAlignment="1">
      <alignment horizontal="left" indent="2"/>
    </xf>
    <xf numFmtId="0" fontId="21" fillId="0" borderId="0" xfId="0" applyFont="1" applyAlignment="1">
      <alignment horizontal="center"/>
    </xf>
    <xf numFmtId="10" fontId="21" fillId="0" borderId="0" xfId="3" applyNumberFormat="1" applyFont="1" applyAlignment="1">
      <alignment horizontal="right"/>
    </xf>
    <xf numFmtId="0" fontId="0" fillId="8" borderId="0" xfId="0" applyFill="1"/>
    <xf numFmtId="0" fontId="24" fillId="0" borderId="0" xfId="0" applyNumberFormat="1" applyFont="1" applyAlignment="1">
      <alignment wrapText="1"/>
    </xf>
    <xf numFmtId="0" fontId="24" fillId="0" borderId="0" xfId="0" applyFont="1" applyAlignment="1">
      <alignment wrapText="1"/>
    </xf>
    <xf numFmtId="0" fontId="24" fillId="0" borderId="0" xfId="0" applyFont="1"/>
    <xf numFmtId="165" fontId="24" fillId="0" borderId="0" xfId="2" applyNumberFormat="1" applyFont="1"/>
    <xf numFmtId="3" fontId="0" fillId="0" borderId="0" xfId="2" applyNumberFormat="1" applyFont="1"/>
    <xf numFmtId="9" fontId="0" fillId="3" borderId="0" xfId="0" applyNumberFormat="1" applyFill="1" applyAlignment="1">
      <alignment wrapText="1"/>
    </xf>
    <xf numFmtId="0" fontId="23" fillId="0" borderId="0" xfId="4"/>
    <xf numFmtId="0" fontId="0" fillId="0" borderId="0" xfId="0" applyFill="1" applyBorder="1"/>
    <xf numFmtId="9" fontId="0" fillId="0" borderId="0" xfId="3" applyFont="1"/>
    <xf numFmtId="10" fontId="0" fillId="0" borderId="0" xfId="3" applyNumberFormat="1" applyFont="1"/>
    <xf numFmtId="9" fontId="0" fillId="0" borderId="0" xfId="0" applyNumberFormat="1" applyFill="1"/>
    <xf numFmtId="0" fontId="25" fillId="0" borderId="0" xfId="0" applyNumberFormat="1" applyFont="1" applyFill="1" applyBorder="1" applyAlignment="1" applyProtection="1"/>
    <xf numFmtId="0" fontId="25" fillId="0" borderId="0" xfId="0" applyNumberFormat="1" applyFont="1" applyFill="1" applyBorder="1" applyAlignment="1" applyProtection="1">
      <alignment horizontal="center"/>
    </xf>
    <xf numFmtId="0" fontId="24" fillId="0" borderId="0" xfId="0" applyFont="1" applyFill="1"/>
    <xf numFmtId="0" fontId="24" fillId="8" borderId="0" xfId="0" applyFont="1" applyFill="1"/>
    <xf numFmtId="0" fontId="0" fillId="8" borderId="0" xfId="0" applyFont="1" applyFill="1"/>
    <xf numFmtId="0" fontId="24" fillId="0" borderId="0" xfId="0" applyFont="1" applyFill="1" applyAlignment="1">
      <alignment wrapText="1"/>
    </xf>
    <xf numFmtId="0" fontId="24" fillId="0" borderId="47" xfId="0" applyFont="1" applyFill="1" applyBorder="1"/>
    <xf numFmtId="165" fontId="18" fillId="0" borderId="12" xfId="2" applyNumberFormat="1" applyFont="1" applyFill="1" applyBorder="1" applyAlignment="1">
      <alignment horizontal="right" vertical="top"/>
    </xf>
    <xf numFmtId="0" fontId="0" fillId="9" borderId="0" xfId="0" applyFill="1"/>
    <xf numFmtId="1" fontId="0" fillId="0" borderId="0" xfId="0" applyNumberFormat="1" applyFill="1" applyAlignment="1">
      <alignment wrapText="1"/>
    </xf>
    <xf numFmtId="0" fontId="0" fillId="10" borderId="0" xfId="0" applyFill="1"/>
    <xf numFmtId="0" fontId="0" fillId="10" borderId="0" xfId="0" applyFont="1" applyFill="1"/>
    <xf numFmtId="0" fontId="24" fillId="10" borderId="0" xfId="0" applyFont="1" applyFill="1" applyAlignment="1">
      <alignment wrapText="1"/>
    </xf>
    <xf numFmtId="0" fontId="26" fillId="0" borderId="0" xfId="0" applyFont="1"/>
    <xf numFmtId="0" fontId="24" fillId="11" borderId="47" xfId="0" applyFont="1" applyFill="1" applyBorder="1"/>
    <xf numFmtId="0" fontId="24" fillId="11" borderId="47" xfId="0" applyFont="1" applyFill="1" applyBorder="1" applyAlignment="1">
      <alignment wrapText="1"/>
    </xf>
    <xf numFmtId="9" fontId="0" fillId="10" borderId="0" xfId="0" applyNumberFormat="1" applyFill="1"/>
    <xf numFmtId="0" fontId="4" fillId="2" borderId="1" xfId="6" applyFont="1" applyFill="1" applyBorder="1"/>
    <xf numFmtId="0" fontId="4" fillId="2" borderId="1" xfId="6" applyFont="1" applyFill="1" applyBorder="1" applyAlignment="1">
      <alignment wrapText="1"/>
    </xf>
    <xf numFmtId="165" fontId="4" fillId="2" borderId="1" xfId="7" applyNumberFormat="1" applyFont="1" applyFill="1" applyBorder="1"/>
    <xf numFmtId="0" fontId="2" fillId="0" borderId="0" xfId="6"/>
    <xf numFmtId="0" fontId="6" fillId="2" borderId="1" xfId="6" applyFont="1" applyFill="1" applyBorder="1"/>
    <xf numFmtId="0" fontId="2" fillId="0" borderId="0" xfId="6" applyAlignment="1">
      <alignment vertical="center" wrapText="1"/>
    </xf>
    <xf numFmtId="0" fontId="2" fillId="0" borderId="0" xfId="6" applyAlignment="1">
      <alignment wrapText="1"/>
    </xf>
    <xf numFmtId="165" fontId="0" fillId="0" borderId="0" xfId="7" applyNumberFormat="1" applyFont="1"/>
    <xf numFmtId="165" fontId="0" fillId="13" borderId="0" xfId="7" applyNumberFormat="1" applyFont="1" applyFill="1"/>
    <xf numFmtId="0" fontId="2" fillId="14" borderId="0" xfId="6" applyFill="1"/>
    <xf numFmtId="0" fontId="2" fillId="14" borderId="0" xfId="6" applyFill="1" applyAlignment="1">
      <alignment wrapText="1"/>
    </xf>
    <xf numFmtId="165" fontId="0" fillId="0" borderId="0" xfId="7" applyNumberFormat="1" applyFont="1" applyAlignment="1">
      <alignment wrapText="1"/>
    </xf>
    <xf numFmtId="165" fontId="2" fillId="0" borderId="0" xfId="6" applyNumberFormat="1" applyAlignment="1">
      <alignment wrapText="1"/>
    </xf>
    <xf numFmtId="0" fontId="2" fillId="3" borderId="0" xfId="6" applyFill="1"/>
    <xf numFmtId="0" fontId="2" fillId="3" borderId="0" xfId="6" applyFill="1" applyAlignment="1">
      <alignment wrapText="1"/>
    </xf>
    <xf numFmtId="0" fontId="2" fillId="12" borderId="0" xfId="6" applyFill="1"/>
    <xf numFmtId="0" fontId="2" fillId="12" borderId="0" xfId="6" applyFill="1" applyAlignment="1">
      <alignment wrapText="1"/>
    </xf>
    <xf numFmtId="165" fontId="0" fillId="0" borderId="0" xfId="7" applyNumberFormat="1" applyFont="1" applyAlignment="1">
      <alignment vertical="center" wrapText="1"/>
    </xf>
    <xf numFmtId="165" fontId="0" fillId="15" borderId="0" xfId="7" applyNumberFormat="1" applyFont="1" applyFill="1"/>
    <xf numFmtId="0" fontId="2" fillId="16" borderId="0" xfId="6" applyFill="1"/>
    <xf numFmtId="0" fontId="2" fillId="16" borderId="0" xfId="6" applyFill="1" applyAlignment="1">
      <alignment wrapText="1"/>
    </xf>
    <xf numFmtId="165" fontId="0" fillId="16" borderId="0" xfId="7" applyNumberFormat="1" applyFont="1" applyFill="1"/>
    <xf numFmtId="0" fontId="2" fillId="17" borderId="0" xfId="6" applyFill="1"/>
    <xf numFmtId="0" fontId="2" fillId="17" borderId="0" xfId="6" applyFill="1" applyAlignment="1">
      <alignment wrapText="1"/>
    </xf>
    <xf numFmtId="165" fontId="0" fillId="17" borderId="0" xfId="7" applyNumberFormat="1" applyFont="1" applyFill="1"/>
    <xf numFmtId="165" fontId="0" fillId="16" borderId="0" xfId="7" applyNumberFormat="1" applyFont="1" applyFill="1" applyAlignment="1">
      <alignment wrapText="1"/>
    </xf>
    <xf numFmtId="165" fontId="0" fillId="17" borderId="0" xfId="7" applyNumberFormat="1" applyFont="1" applyFill="1" applyAlignment="1">
      <alignment wrapText="1"/>
    </xf>
    <xf numFmtId="0" fontId="5" fillId="0" borderId="0" xfId="6" applyFont="1" applyAlignment="1">
      <alignment vertical="center" wrapText="1"/>
    </xf>
    <xf numFmtId="0" fontId="5" fillId="0" borderId="0" xfId="6" applyFont="1" applyAlignment="1">
      <alignment wrapText="1"/>
    </xf>
    <xf numFmtId="0" fontId="8" fillId="0" borderId="0" xfId="8" applyAlignment="1">
      <alignment wrapText="1"/>
    </xf>
    <xf numFmtId="0" fontId="2" fillId="17" borderId="0" xfId="6" applyFill="1" applyAlignment="1">
      <alignment vertical="center" wrapText="1"/>
    </xf>
    <xf numFmtId="165" fontId="4" fillId="2" borderId="0" xfId="7" applyNumberFormat="1" applyFont="1" applyFill="1" applyBorder="1"/>
    <xf numFmtId="0" fontId="24" fillId="18" borderId="0" xfId="0" applyFont="1" applyFill="1"/>
    <xf numFmtId="165" fontId="0" fillId="18" borderId="0" xfId="2" applyNumberFormat="1" applyFont="1" applyFill="1"/>
    <xf numFmtId="0" fontId="0" fillId="18" borderId="0" xfId="0" applyFill="1"/>
    <xf numFmtId="168" fontId="0" fillId="18" borderId="0" xfId="2" applyNumberFormat="1" applyFont="1" applyFill="1"/>
    <xf numFmtId="167" fontId="0" fillId="18" borderId="0" xfId="2" applyNumberFormat="1" applyFont="1" applyFill="1"/>
    <xf numFmtId="168" fontId="0" fillId="18" borderId="0" xfId="5" applyNumberFormat="1" applyFont="1" applyFill="1"/>
    <xf numFmtId="43" fontId="0" fillId="18" borderId="0" xfId="2" applyNumberFormat="1" applyFont="1" applyFill="1"/>
    <xf numFmtId="165" fontId="17" fillId="0" borderId="0" xfId="2" applyNumberFormat="1" applyFont="1" applyFill="1" applyBorder="1" applyAlignment="1">
      <alignment horizontal="right" vertical="top"/>
    </xf>
    <xf numFmtId="43" fontId="0" fillId="0" borderId="0" xfId="2" applyFont="1" applyAlignment="1">
      <alignment wrapText="1"/>
    </xf>
    <xf numFmtId="165" fontId="0" fillId="0" borderId="0" xfId="2" applyNumberFormat="1" applyFont="1" applyAlignment="1">
      <alignment wrapText="1"/>
    </xf>
    <xf numFmtId="169" fontId="0" fillId="0" borderId="0" xfId="0" applyNumberFormat="1"/>
    <xf numFmtId="169" fontId="24" fillId="11" borderId="47" xfId="0" applyNumberFormat="1" applyFont="1" applyFill="1" applyBorder="1"/>
    <xf numFmtId="0" fontId="1" fillId="0" borderId="0" xfId="6" applyFont="1"/>
    <xf numFmtId="0" fontId="1" fillId="0" borderId="0" xfId="6" applyFont="1" applyAlignment="1">
      <alignment wrapText="1"/>
    </xf>
    <xf numFmtId="0" fontId="1" fillId="0" borderId="0" xfId="6" applyFont="1" applyAlignment="1">
      <alignment vertical="center" wrapText="1"/>
    </xf>
    <xf numFmtId="165" fontId="2" fillId="0" borderId="0" xfId="6" applyNumberFormat="1" applyAlignment="1">
      <alignment vertical="center" wrapText="1"/>
    </xf>
    <xf numFmtId="43" fontId="0" fillId="0" borderId="0" xfId="2" applyNumberFormat="1" applyFont="1" applyAlignment="1">
      <alignment wrapText="1"/>
    </xf>
    <xf numFmtId="2" fontId="0" fillId="0" borderId="0" xfId="0" applyNumberFormat="1" applyAlignment="1">
      <alignment wrapText="1"/>
    </xf>
    <xf numFmtId="170" fontId="0" fillId="0" borderId="0" xfId="2" applyNumberFormat="1" applyFont="1" applyAlignment="1">
      <alignment wrapText="1"/>
    </xf>
    <xf numFmtId="0" fontId="24" fillId="3" borderId="47" xfId="0" applyFont="1" applyFill="1" applyBorder="1" applyAlignment="1">
      <alignment wrapText="1"/>
    </xf>
    <xf numFmtId="0" fontId="24" fillId="9" borderId="0" xfId="0" applyFont="1" applyFill="1"/>
    <xf numFmtId="0" fontId="0" fillId="8" borderId="0" xfId="0" applyFill="1" applyBorder="1"/>
    <xf numFmtId="43" fontId="0" fillId="0" borderId="0" xfId="2" applyNumberFormat="1" applyFont="1"/>
    <xf numFmtId="43" fontId="0" fillId="0" borderId="0" xfId="2" applyFont="1"/>
    <xf numFmtId="9" fontId="0" fillId="19" borderId="0" xfId="0" applyNumberFormat="1" applyFill="1"/>
    <xf numFmtId="0" fontId="25" fillId="0" borderId="0" xfId="0" applyNumberFormat="1" applyFont="1" applyFill="1" applyBorder="1" applyAlignment="1" applyProtection="1">
      <alignment horizontal="center"/>
    </xf>
    <xf numFmtId="0" fontId="12" fillId="0" borderId="13" xfId="0" applyFont="1" applyBorder="1" applyAlignment="1">
      <alignment horizontal="left" vertical="top" wrapText="1"/>
    </xf>
    <xf numFmtId="0" fontId="11" fillId="6" borderId="16" xfId="0" applyFont="1" applyFill="1" applyBorder="1" applyAlignment="1">
      <alignment horizontal="right" vertical="top"/>
    </xf>
    <xf numFmtId="0" fontId="11" fillId="6" borderId="21" xfId="0" applyFont="1" applyFill="1" applyBorder="1" applyAlignment="1">
      <alignment horizontal="right" vertical="top"/>
    </xf>
    <xf numFmtId="0" fontId="11" fillId="6" borderId="23" xfId="0" applyFont="1" applyFill="1" applyBorder="1" applyAlignment="1">
      <alignment horizontal="left" wrapText="1"/>
    </xf>
    <xf numFmtId="0" fontId="11" fillId="6" borderId="24" xfId="0" applyFont="1" applyFill="1" applyBorder="1" applyAlignment="1">
      <alignment horizontal="left" wrapText="1"/>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8" xfId="0" applyFont="1" applyFill="1" applyBorder="1" applyAlignment="1">
      <alignment horizontal="center" vertical="center"/>
    </xf>
  </cellXfs>
  <cellStyles count="9">
    <cellStyle name="Comma" xfId="2" builtinId="3"/>
    <cellStyle name="Comma 2" xfId="7" xr:uid="{A948120F-1B55-CB4F-B40A-8C2DD98D3F4B}"/>
    <cellStyle name="Currency" xfId="5" builtinId="4"/>
    <cellStyle name="Hyperlink" xfId="4" builtinId="8"/>
    <cellStyle name="Normal" xfId="0" builtinId="0"/>
    <cellStyle name="Normal 2" xfId="1" xr:uid="{A0E4DAB4-CA58-DD45-A97C-F3D17E2CCF52}"/>
    <cellStyle name="Normal 3" xfId="6" xr:uid="{52320595-1DEA-6444-A945-1E33067A4DAE}"/>
    <cellStyle name="Normale 2" xfId="8" xr:uid="{81A957DB-90AF-4C48-9372-B266766EADFB}"/>
    <cellStyle name="Percent" xfId="3" builtinId="5"/>
  </cellStyles>
  <dxfs count="3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Users/denizhan/Google%20Drive/Cote%20d'Ivoire%20HSPT%20shared/Data%20sources%20and%20review/Received%20from%20programs/DESAGREGATION%20DES%20DEPENSES%20PAR%20MALDIE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coping%20data%20matrix%20HSPT%20CIV_v2_F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ldbankgroup-my.sharepoint.com/Users/denizhan/Google%20Drive/Cote%20d'Ivoire%20HSPT%20shared/Data%20sources%20and%20review/Received%20from%20programs/Intervention%20list%20for%20HIP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XHC"/>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pophealthmetrics.biomedcentral.com/articles/10.1186/s12963-016-0073-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pma2020.org/sites/default/files/Cote%20d%E2%80%99Ivoire_AbortionModule_Brief_EN_012019.pdf%20-%20midpoint%20of%20estimate%20range%20209K-288K" TargetMode="External"/><Relationship Id="rId2" Type="http://schemas.openxmlformats.org/officeDocument/2006/relationships/hyperlink" Target="http://www.unaids.org/en/regionscountries/countries/ctedivoire" TargetMode="External"/><Relationship Id="rId1" Type="http://schemas.openxmlformats.org/officeDocument/2006/relationships/hyperlink" Target="https://extranet.who.int/sree/Reports?op=Replet&amp;name=/WHO_HQ_Reports/G2/PROD/EXT/TBCountryProfile&amp;ISO2=CI&amp;outtype=html&amp;LAN=FR" TargetMode="External"/><Relationship Id="rId4" Type="http://schemas.openxmlformats.org/officeDocument/2006/relationships/hyperlink" Target="https://extranet.who.int/sree/Reports?op=Replet&amp;name=/WHO_HQ_Reports/G2/PROD/EXT/TBCountryProfile&amp;ISO2=CI&amp;outtype=html"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C25CF-632D-8E45-B15C-86572756976F}">
  <sheetPr filterMode="1">
    <tabColor rgb="FF00B0F0"/>
  </sheetPr>
  <dimension ref="A1:W1048576"/>
  <sheetViews>
    <sheetView topLeftCell="K6" zoomScaleNormal="100" workbookViewId="0">
      <selection activeCell="R122" sqref="R122"/>
    </sheetView>
  </sheetViews>
  <sheetFormatPr defaultColWidth="11.5546875" defaultRowHeight="14.4"/>
  <cols>
    <col min="1" max="1" width="13.33203125" style="1" customWidth="1"/>
    <col min="2" max="2" width="11.5546875" style="1"/>
    <col min="4" max="4" width="10.77734375" style="1"/>
    <col min="6" max="6" width="17.44140625" style="1" customWidth="1"/>
    <col min="7" max="7" width="35.109375" customWidth="1"/>
    <col min="8" max="8" width="13.88671875" customWidth="1"/>
    <col min="9" max="9" width="42.44140625" customWidth="1"/>
    <col min="10" max="10" width="89.21875" style="2" customWidth="1"/>
    <col min="11" max="11" width="56.109375" style="1" customWidth="1"/>
    <col min="12" max="12" width="10.77734375" customWidth="1"/>
    <col min="13" max="13" width="10.77734375" style="1" customWidth="1"/>
    <col min="14" max="16" width="17.44140625" style="1" customWidth="1"/>
    <col min="17" max="17" width="11.6640625" style="1" bestFit="1" customWidth="1"/>
    <col min="18" max="18" width="15.6640625" customWidth="1"/>
    <col min="19" max="19" width="15.6640625" style="1" customWidth="1"/>
    <col min="20" max="21" width="28.109375" style="206" customWidth="1"/>
    <col min="22" max="23" width="11" bestFit="1" customWidth="1"/>
  </cols>
  <sheetData>
    <row r="1" spans="1:23" ht="23.4" hidden="1">
      <c r="C1" s="160" t="s">
        <v>2071</v>
      </c>
      <c r="D1" s="160"/>
      <c r="V1" t="s">
        <v>2116</v>
      </c>
      <c r="W1">
        <v>0.7</v>
      </c>
    </row>
    <row r="2" spans="1:23" ht="23.4" hidden="1">
      <c r="C2" s="160" t="s">
        <v>2009</v>
      </c>
      <c r="D2" s="160"/>
      <c r="V2" t="s">
        <v>2117</v>
      </c>
      <c r="W2">
        <v>550</v>
      </c>
    </row>
    <row r="3" spans="1:23" s="1" customFormat="1" ht="23.4" hidden="1">
      <c r="C3" s="160" t="s">
        <v>2073</v>
      </c>
      <c r="D3" s="160"/>
      <c r="J3" s="2"/>
      <c r="T3" s="206"/>
      <c r="U3" s="206"/>
      <c r="V3" s="1" t="s">
        <v>2282</v>
      </c>
      <c r="W3" s="1">
        <v>0.1</v>
      </c>
    </row>
    <row r="4" spans="1:23" s="1" customFormat="1" ht="23.4" hidden="1">
      <c r="C4" s="160" t="s">
        <v>2072</v>
      </c>
      <c r="D4" s="160"/>
      <c r="J4" s="2"/>
      <c r="T4" s="206"/>
      <c r="U4" s="206"/>
    </row>
    <row r="5" spans="1:23" s="1" customFormat="1" ht="23.4" hidden="1">
      <c r="C5" s="160" t="s">
        <v>2110</v>
      </c>
      <c r="D5" s="160"/>
      <c r="J5" s="2"/>
      <c r="T5" s="206"/>
      <c r="U5" s="206"/>
    </row>
    <row r="6" spans="1:23" s="1" customFormat="1" ht="23.4">
      <c r="C6" s="160"/>
      <c r="D6" s="160"/>
      <c r="J6" s="2"/>
      <c r="T6" s="206"/>
      <c r="U6" s="206"/>
    </row>
    <row r="8" spans="1:23">
      <c r="K8" s="1" t="s">
        <v>2299</v>
      </c>
    </row>
    <row r="9" spans="1:23">
      <c r="A9" s="1" t="s">
        <v>2274</v>
      </c>
      <c r="B9" s="161" t="s">
        <v>2273</v>
      </c>
      <c r="C9" s="161" t="s">
        <v>0</v>
      </c>
      <c r="D9" s="161" t="s">
        <v>2113</v>
      </c>
      <c r="E9" s="161" t="s">
        <v>1131</v>
      </c>
      <c r="F9" s="161" t="s">
        <v>2120</v>
      </c>
      <c r="G9" s="161" t="s">
        <v>1</v>
      </c>
      <c r="H9" s="161" t="s">
        <v>2</v>
      </c>
      <c r="I9" s="162" t="s">
        <v>3</v>
      </c>
      <c r="J9" s="215" t="s">
        <v>2129</v>
      </c>
      <c r="K9" s="216" t="s">
        <v>2129</v>
      </c>
      <c r="L9" s="161" t="s">
        <v>4</v>
      </c>
      <c r="M9" s="161" t="s">
        <v>2114</v>
      </c>
      <c r="N9" s="161" t="s">
        <v>2115</v>
      </c>
      <c r="O9" s="161" t="s">
        <v>2123</v>
      </c>
      <c r="P9" s="161" t="s">
        <v>2118</v>
      </c>
      <c r="Q9" s="161" t="s">
        <v>2119</v>
      </c>
      <c r="R9" s="161" t="s">
        <v>5</v>
      </c>
      <c r="S9" s="161" t="s">
        <v>2268</v>
      </c>
      <c r="T9" s="207" t="s">
        <v>6</v>
      </c>
      <c r="U9" s="207" t="s">
        <v>2271</v>
      </c>
      <c r="V9" s="161" t="s">
        <v>7</v>
      </c>
      <c r="W9" s="161" t="s">
        <v>8</v>
      </c>
    </row>
    <row r="10" spans="1:23" hidden="1">
      <c r="A10" s="1" t="s">
        <v>2283</v>
      </c>
      <c r="B10" s="1" t="s">
        <v>2275</v>
      </c>
      <c r="C10" s="1">
        <v>1</v>
      </c>
      <c r="D10" s="1" t="str">
        <f>'collected data-merged'!D2</f>
        <v>C1</v>
      </c>
      <c r="E10" s="1" t="s">
        <v>621</v>
      </c>
      <c r="F10" s="205" t="str">
        <f>'DCP3 causes and BoD CIV'!B2</f>
        <v>C1</v>
      </c>
      <c r="G10" s="2" t="s">
        <v>24</v>
      </c>
      <c r="H10" s="2" t="s">
        <v>17</v>
      </c>
      <c r="I10" s="2" t="s">
        <v>2010</v>
      </c>
      <c r="J10" s="2" t="str">
        <f t="shared" ref="J10:J41" si="0">CONCATENATE(I10, ":", " ", Q10)</f>
        <v>Maternal and neonatal disorders: 0.000314999483625363</v>
      </c>
      <c r="K10" s="1" t="s">
        <v>2319</v>
      </c>
      <c r="L10" s="6">
        <v>402.5</v>
      </c>
      <c r="M10" s="204">
        <f>'collected data-merged'!R2/'collected data-merged'!Q2</f>
        <v>1</v>
      </c>
      <c r="N10" s="205">
        <f>(U10/L10)*Quality_reduction</f>
        <v>618.98808658305563</v>
      </c>
      <c r="O10" s="205">
        <f>'DCP3 causes and BoD CIV'!E2</f>
        <v>1965044.765975663</v>
      </c>
      <c r="P10" s="212">
        <f>N10/'DCP3 causes and BoD CIV'!E2</f>
        <v>3.1499948362536274E-4</v>
      </c>
      <c r="Q10" s="2">
        <f>M10*P10</f>
        <v>3.1499948362536274E-4</v>
      </c>
      <c r="R10" s="2">
        <f>'collected data-merged'!N2</f>
        <v>219.45706052407431</v>
      </c>
      <c r="S10" s="2">
        <f>R10/550</f>
        <v>0.39901283731649873</v>
      </c>
      <c r="T10" s="206">
        <f>'collected data-merged'!T2</f>
        <v>195754982.38189134</v>
      </c>
      <c r="U10" s="219">
        <f>T10/550</f>
        <v>355918.149785257</v>
      </c>
      <c r="V10" s="2">
        <v>2</v>
      </c>
      <c r="W10" s="2">
        <v>2</v>
      </c>
    </row>
    <row r="11" spans="1:23" ht="28.8" hidden="1">
      <c r="B11" s="1" t="s">
        <v>2275</v>
      </c>
      <c r="C11" s="1">
        <v>1</v>
      </c>
      <c r="D11" s="1" t="str">
        <f>'collected data-merged'!D3</f>
        <v>C10</v>
      </c>
      <c r="E11" s="1" t="s">
        <v>650</v>
      </c>
      <c r="F11" s="205" t="str">
        <f>'DCP3 causes and BoD CIV'!B3</f>
        <v>C10</v>
      </c>
      <c r="G11" s="2" t="s">
        <v>92</v>
      </c>
      <c r="H11" s="2" t="s">
        <v>17</v>
      </c>
      <c r="I11" s="2" t="s">
        <v>2011</v>
      </c>
      <c r="J11" s="2" t="str">
        <f t="shared" si="0"/>
        <v>Diarrheal diseases; Acute hepatitis A; Acute hepatitis E: 0.0524521824365526</v>
      </c>
      <c r="K11" s="1" t="s">
        <v>2128</v>
      </c>
      <c r="L11" s="2">
        <v>95</v>
      </c>
      <c r="M11" s="204">
        <f>'collected data-merged'!R3/'collected data-merged'!Q3</f>
        <v>1</v>
      </c>
      <c r="N11" s="205">
        <f t="shared" ref="N11:N41" si="1">((T11/L11)/FCFA_US__exchange)*Quality_reduction</f>
        <v>45296.695064880812</v>
      </c>
      <c r="O11" s="205">
        <f>'DCP3 causes and BoD CIV'!E3</f>
        <v>863580.75032764929</v>
      </c>
      <c r="P11" s="212">
        <f>N11/'DCP3 causes and BoD CIV'!E3</f>
        <v>5.2452182436552565E-2</v>
      </c>
      <c r="Q11" s="213">
        <f t="shared" ref="Q11:Q74" si="2">M11*P11</f>
        <v>5.2452182436552565E-2</v>
      </c>
      <c r="R11" s="2">
        <f>'collected data-merged'!N3</f>
        <v>3790.456388667772</v>
      </c>
      <c r="S11" s="2">
        <f t="shared" ref="S11:S74" si="3">R11/550</f>
        <v>6.8917388884868584</v>
      </c>
      <c r="T11" s="206">
        <f>'collected data-merged'!T3</f>
        <v>3381074738.771461</v>
      </c>
      <c r="U11" s="219">
        <f t="shared" ref="U11:U74" si="4">T11/550</f>
        <v>6147408.6159481108</v>
      </c>
      <c r="V11" s="2">
        <v>3</v>
      </c>
      <c r="W11" s="2">
        <v>1</v>
      </c>
    </row>
    <row r="12" spans="1:23" hidden="1">
      <c r="B12" s="1" t="s">
        <v>2275</v>
      </c>
      <c r="C12" s="1">
        <v>1</v>
      </c>
      <c r="D12" s="1" t="str">
        <f>'collected data-merged'!D4</f>
        <v>C11</v>
      </c>
      <c r="E12" s="1" t="s">
        <v>651</v>
      </c>
      <c r="F12" s="205" t="str">
        <f>'DCP3 causes and BoD CIV'!B4</f>
        <v>C11</v>
      </c>
      <c r="G12" s="2" t="s">
        <v>193</v>
      </c>
      <c r="H12" s="2" t="s">
        <v>17</v>
      </c>
      <c r="I12" s="2" t="s">
        <v>1532</v>
      </c>
      <c r="J12" s="2" t="str">
        <f t="shared" si="0"/>
        <v>Pneumococcal meningitis: 0.139722227337781</v>
      </c>
      <c r="K12" s="1" t="s">
        <v>2320</v>
      </c>
      <c r="L12" s="2">
        <v>103</v>
      </c>
      <c r="M12" s="204">
        <f>'collected data-merged'!R4/'collected data-merged'!Q4</f>
        <v>1.6326530612244898</v>
      </c>
      <c r="N12" s="205">
        <f t="shared" si="1"/>
        <v>88969.10723075032</v>
      </c>
      <c r="O12" s="205">
        <f>'DCP3 causes and BoD CIV'!E4</f>
        <v>1039603.2760309193</v>
      </c>
      <c r="P12" s="212">
        <f>N12/'DCP3 causes and BoD CIV'!E4</f>
        <v>8.5579864244391096E-2</v>
      </c>
      <c r="Q12" s="213">
        <f t="shared" si="2"/>
        <v>0.13972222733778139</v>
      </c>
      <c r="R12" s="2">
        <f>'collected data-merged'!N4</f>
        <v>8741.9197598253231</v>
      </c>
      <c r="S12" s="2">
        <f t="shared" si="3"/>
        <v>15.894399563318769</v>
      </c>
      <c r="T12" s="206">
        <f>'collected data-merged'!T4</f>
        <v>7200142749.4600077</v>
      </c>
      <c r="U12" s="219">
        <f t="shared" si="4"/>
        <v>13091168.635381833</v>
      </c>
      <c r="V12" s="2">
        <v>2</v>
      </c>
      <c r="W12" s="2">
        <v>2</v>
      </c>
    </row>
    <row r="13" spans="1:23" hidden="1">
      <c r="A13" s="1" t="s">
        <v>2283</v>
      </c>
      <c r="B13" s="1" t="s">
        <v>2275</v>
      </c>
      <c r="C13" s="1">
        <v>1</v>
      </c>
      <c r="D13" s="1" t="str">
        <f>'collected data-merged'!D5</f>
        <v>C12</v>
      </c>
      <c r="E13" s="1" t="s">
        <v>652</v>
      </c>
      <c r="F13" s="205" t="str">
        <f>'DCP3 causes and BoD CIV'!B5</f>
        <v>C12</v>
      </c>
      <c r="G13" s="2" t="s">
        <v>235</v>
      </c>
      <c r="H13" s="2" t="s">
        <v>17</v>
      </c>
      <c r="I13" s="2" t="s">
        <v>2012</v>
      </c>
      <c r="J13" s="2" t="str">
        <f t="shared" si="0"/>
        <v>Other intestinal infectious diseases: 0.0459904922498514</v>
      </c>
      <c r="K13" s="1" t="str">
        <f>J13</f>
        <v>Other intestinal infectious diseases: 0.0459904922498514</v>
      </c>
      <c r="L13" s="6">
        <v>402.5</v>
      </c>
      <c r="M13" s="204">
        <f>'collected data-merged'!R5/'collected data-merged'!Q5</f>
        <v>5</v>
      </c>
      <c r="N13" s="205">
        <f t="shared" si="1"/>
        <v>7884.7618357278134</v>
      </c>
      <c r="O13" s="205">
        <f>'DCP3 causes and BoD CIV'!E5</f>
        <v>857216.50823962234</v>
      </c>
      <c r="P13" s="212">
        <f>N13/'DCP3 causes and BoD CIV'!E5</f>
        <v>9.1980984499702885E-3</v>
      </c>
      <c r="Q13" s="213">
        <f t="shared" si="2"/>
        <v>4.5990492249851439E-2</v>
      </c>
      <c r="R13" s="2">
        <f>'collected data-merged'!N5</f>
        <v>9271.7330786026178</v>
      </c>
      <c r="S13" s="2">
        <f t="shared" si="3"/>
        <v>16.857696506550216</v>
      </c>
      <c r="T13" s="206">
        <f>'collected data-merged'!T5</f>
        <v>2493555930.5489211</v>
      </c>
      <c r="U13" s="219">
        <f t="shared" si="4"/>
        <v>4533738.0555434925</v>
      </c>
      <c r="V13" s="2">
        <v>2</v>
      </c>
      <c r="W13" s="2">
        <v>2</v>
      </c>
    </row>
    <row r="14" spans="1:23" hidden="1">
      <c r="B14" s="1" t="s">
        <v>2275</v>
      </c>
      <c r="C14" s="1">
        <v>1</v>
      </c>
      <c r="D14" s="1" t="str">
        <f>'collected data-merged'!D6</f>
        <v>C13</v>
      </c>
      <c r="E14" s="1" t="s">
        <v>653</v>
      </c>
      <c r="F14" s="205" t="str">
        <f>'DCP3 causes and BoD CIV'!B6</f>
        <v>C13</v>
      </c>
      <c r="G14" s="2" t="s">
        <v>68</v>
      </c>
      <c r="H14" s="2" t="s">
        <v>17</v>
      </c>
      <c r="I14" s="2" t="s">
        <v>310</v>
      </c>
      <c r="J14" s="2" t="str">
        <f t="shared" si="0"/>
        <v>HIV/AIDS: 0.315510843788607</v>
      </c>
      <c r="K14" s="1" t="str">
        <f>J14</f>
        <v>HIV/AIDS: 0.315510843788607</v>
      </c>
      <c r="L14" s="2">
        <v>64</v>
      </c>
      <c r="M14" s="204">
        <f>'collected data-merged'!R6/'collected data-merged'!Q6</f>
        <v>1.6</v>
      </c>
      <c r="N14" s="205">
        <f t="shared" si="1"/>
        <v>18752.125283482168</v>
      </c>
      <c r="O14" s="205">
        <f>'DCP3 causes and BoD CIV'!E6</f>
        <v>95094.672795695806</v>
      </c>
      <c r="P14" s="212">
        <f>N14/'DCP3 causes and BoD CIV'!E6</f>
        <v>0.19719427736787934</v>
      </c>
      <c r="Q14" s="213">
        <f t="shared" si="2"/>
        <v>0.31551084378860694</v>
      </c>
      <c r="R14" s="2">
        <f>'collected data-merged'!N6</f>
        <v>71033.070753680106</v>
      </c>
      <c r="S14" s="2">
        <f t="shared" si="3"/>
        <v>129.15103773396382</v>
      </c>
      <c r="T14" s="206">
        <f>'collected data-merged'!T6</f>
        <v>942964014.25510335</v>
      </c>
      <c r="U14" s="219">
        <f t="shared" si="4"/>
        <v>1714480.0259183696</v>
      </c>
      <c r="V14" s="2">
        <v>5</v>
      </c>
      <c r="W14" s="2">
        <v>1</v>
      </c>
    </row>
    <row r="15" spans="1:23" ht="28.8" hidden="1">
      <c r="A15" s="1" t="s">
        <v>2287</v>
      </c>
      <c r="B15" s="1" t="s">
        <v>2275</v>
      </c>
      <c r="C15" s="1">
        <v>1</v>
      </c>
      <c r="D15" s="1" t="str">
        <f>'collected data-merged'!D7</f>
        <v>C14</v>
      </c>
      <c r="E15" s="1" t="s">
        <v>654</v>
      </c>
      <c r="F15" s="205" t="str">
        <f>'DCP3 causes and BoD CIV'!B7</f>
        <v>C14</v>
      </c>
      <c r="G15" s="2" t="s">
        <v>288</v>
      </c>
      <c r="H15" s="2" t="s">
        <v>17</v>
      </c>
      <c r="I15" s="2" t="s">
        <v>2013</v>
      </c>
      <c r="J15" s="2" t="str">
        <f t="shared" si="0"/>
        <v>Vitamin A deficiency; Other nutritional deficiencies: 0.0584444154824283</v>
      </c>
      <c r="K15" s="1" t="s">
        <v>2321</v>
      </c>
      <c r="L15" s="2">
        <v>88</v>
      </c>
      <c r="M15" s="204">
        <f>'collected data-merged'!R7/'collected data-merged'!Q7</f>
        <v>1</v>
      </c>
      <c r="N15" s="205">
        <f t="shared" si="1"/>
        <v>105916.83562293195</v>
      </c>
      <c r="O15" s="205">
        <f>'DCP3 causes and BoD CIV'!E7</f>
        <v>1812266.1463656269</v>
      </c>
      <c r="P15" s="212">
        <f>N15/'DCP3 causes and BoD CIV'!E7</f>
        <v>5.8444415482428312E-2</v>
      </c>
      <c r="Q15" s="213">
        <f t="shared" si="2"/>
        <v>5.8444415482428312E-2</v>
      </c>
      <c r="R15" s="2">
        <f>'collected data-merged'!N7</f>
        <v>1819.8489492974159</v>
      </c>
      <c r="S15" s="2">
        <f t="shared" si="3"/>
        <v>3.3088162714498468</v>
      </c>
      <c r="T15" s="206">
        <f>'collected data-merged'!T7</f>
        <v>7323392634.4998655</v>
      </c>
      <c r="U15" s="219">
        <f t="shared" si="4"/>
        <v>13315259.3354543</v>
      </c>
      <c r="V15" s="2">
        <v>1</v>
      </c>
      <c r="W15" s="2">
        <v>1</v>
      </c>
    </row>
    <row r="16" spans="1:23" ht="72" hidden="1">
      <c r="B16" s="1" t="s">
        <v>2275</v>
      </c>
      <c r="C16" s="1">
        <v>1</v>
      </c>
      <c r="D16" s="1" t="str">
        <f>'collected data-merged'!D8</f>
        <v>C16</v>
      </c>
      <c r="E16" s="1" t="s">
        <v>656</v>
      </c>
      <c r="F16" s="205" t="str">
        <f>'DCP3 causes and BoD CIV'!B8</f>
        <v>C16</v>
      </c>
      <c r="G16" s="2" t="s">
        <v>58</v>
      </c>
      <c r="H16" s="2" t="s">
        <v>17</v>
      </c>
      <c r="I16" s="2" t="s">
        <v>2014</v>
      </c>
      <c r="J16" s="2" t="str">
        <f t="shared" si="0"/>
        <v>Diphtheria; Whooping cough; Tetanus; Tuberculosis; Measles; Acute hepatitis B; Cirrhosis and other chronic liver diseases due to hepatitis B; Liver cancer due to hepatitis B; H influenzae type B meningitis: 1.56330443343773</v>
      </c>
      <c r="K16" s="1" t="s">
        <v>2200</v>
      </c>
      <c r="L16" s="2">
        <v>13</v>
      </c>
      <c r="M16" s="204">
        <f>'collected data-merged'!R8/'collected data-merged'!Q8</f>
        <v>2.0512820512820515</v>
      </c>
      <c r="N16" s="205">
        <f t="shared" si="1"/>
        <v>470835.11016267288</v>
      </c>
      <c r="O16" s="205">
        <f>'DCP3 causes and BoD CIV'!E8</f>
        <v>617803.9222125503</v>
      </c>
      <c r="P16" s="212">
        <f>N16/'DCP3 causes and BoD CIV'!E8</f>
        <v>0.76211091130089326</v>
      </c>
      <c r="Q16" s="213">
        <f t="shared" si="2"/>
        <v>1.56330443343773</v>
      </c>
      <c r="R16" s="2">
        <f>'collected data-merged'!N8</f>
        <v>7336.2483453624482</v>
      </c>
      <c r="S16" s="2">
        <f t="shared" si="3"/>
        <v>13.33863335520445</v>
      </c>
      <c r="T16" s="206">
        <f>'collected data-merged'!T8</f>
        <v>4809244339.5187311</v>
      </c>
      <c r="U16" s="219">
        <f t="shared" si="4"/>
        <v>8744080.6173067838</v>
      </c>
      <c r="V16" s="2">
        <v>2</v>
      </c>
      <c r="W16" s="2">
        <v>2</v>
      </c>
    </row>
    <row r="17" spans="1:23" hidden="1">
      <c r="B17" s="1" t="s">
        <v>2275</v>
      </c>
      <c r="C17" s="1">
        <v>1</v>
      </c>
      <c r="D17" s="1" t="str">
        <f>'collected data-merged'!D9</f>
        <v>C17</v>
      </c>
      <c r="E17" s="1" t="s">
        <v>657</v>
      </c>
      <c r="F17" s="205" t="str">
        <f>'DCP3 causes and BoD CIV'!B9</f>
        <v>C17</v>
      </c>
      <c r="G17" s="2" t="s">
        <v>123</v>
      </c>
      <c r="H17" s="2" t="s">
        <v>17</v>
      </c>
      <c r="I17" s="2" t="s">
        <v>330</v>
      </c>
      <c r="J17" s="2" t="str">
        <f t="shared" si="0"/>
        <v>Malaria: 0</v>
      </c>
      <c r="K17" s="1" t="s">
        <v>2134</v>
      </c>
      <c r="L17" s="2">
        <v>54</v>
      </c>
      <c r="M17" s="204">
        <f>'collected data-merged'!R9/'collected data-merged'!Q9</f>
        <v>4</v>
      </c>
      <c r="N17" s="205">
        <f t="shared" si="1"/>
        <v>0</v>
      </c>
      <c r="O17" s="205">
        <f>'DCP3 causes and BoD CIV'!E9</f>
        <v>1112317.6610511751</v>
      </c>
      <c r="P17" s="212">
        <f>N17/'DCP3 causes and BoD CIV'!E9</f>
        <v>0</v>
      </c>
      <c r="Q17" s="213">
        <f t="shared" si="2"/>
        <v>0</v>
      </c>
      <c r="R17" s="2">
        <f>'collected data-merged'!N9</f>
        <v>467.68844895979544</v>
      </c>
      <c r="S17" s="2">
        <f t="shared" si="3"/>
        <v>0.85034263447235536</v>
      </c>
      <c r="T17" s="206">
        <f>'collected data-merged'!T9</f>
        <v>0</v>
      </c>
      <c r="U17" s="219">
        <f t="shared" si="4"/>
        <v>0</v>
      </c>
      <c r="V17" s="2">
        <v>1</v>
      </c>
      <c r="W17" s="2">
        <v>1</v>
      </c>
    </row>
    <row r="18" spans="1:23" ht="28.8" hidden="1">
      <c r="B18" s="1" t="s">
        <v>2275</v>
      </c>
      <c r="C18" s="1">
        <v>0</v>
      </c>
      <c r="D18" s="1" t="str">
        <f>'collected data-merged'!D10</f>
        <v>C18</v>
      </c>
      <c r="E18" s="1" t="s">
        <v>658</v>
      </c>
      <c r="F18" s="205" t="str">
        <f>'DCP3 causes and BoD CIV'!B10</f>
        <v>C18</v>
      </c>
      <c r="G18" s="2" t="s">
        <v>344</v>
      </c>
      <c r="H18" s="2" t="s">
        <v>17</v>
      </c>
      <c r="I18" s="2" t="s">
        <v>2015</v>
      </c>
      <c r="J18" s="1" t="e">
        <f t="shared" si="0"/>
        <v>#DIV/0!</v>
      </c>
      <c r="K18" s="1" t="e">
        <v>#DIV/0!</v>
      </c>
      <c r="L18" s="2"/>
      <c r="M18" s="204">
        <f>'collected data-merged'!R10/'collected data-merged'!Q10</f>
        <v>1.2</v>
      </c>
      <c r="N18" s="205" t="e">
        <f t="shared" si="1"/>
        <v>#DIV/0!</v>
      </c>
      <c r="O18" s="205">
        <f>'DCP3 causes and BoD CIV'!E10</f>
        <v>48572.254021391462</v>
      </c>
      <c r="P18" s="212" t="e">
        <f>N18/'DCP3 causes and BoD CIV'!E10</f>
        <v>#DIV/0!</v>
      </c>
      <c r="Q18" s="213" t="e">
        <f t="shared" si="2"/>
        <v>#DIV/0!</v>
      </c>
      <c r="R18" s="2">
        <f>'collected data-merged'!N10</f>
        <v>441.51109898107705</v>
      </c>
      <c r="S18" s="2">
        <f t="shared" si="3"/>
        <v>0.8027474526928674</v>
      </c>
      <c r="T18" s="206">
        <f>'collected data-merged'!T10</f>
        <v>1653387397.3949914</v>
      </c>
      <c r="U18" s="219">
        <f t="shared" si="4"/>
        <v>3006158.9043545299</v>
      </c>
      <c r="V18" s="2">
        <v>0</v>
      </c>
      <c r="W18" s="2">
        <v>1</v>
      </c>
    </row>
    <row r="19" spans="1:23" hidden="1">
      <c r="B19" s="1" t="s">
        <v>2275</v>
      </c>
      <c r="C19" s="1">
        <v>1</v>
      </c>
      <c r="D19" s="1" t="str">
        <f>'collected data-merged'!D11</f>
        <v>C19</v>
      </c>
      <c r="E19" s="1" t="s">
        <v>659</v>
      </c>
      <c r="F19" s="205" t="str">
        <f>'DCP3 causes and BoD CIV'!B11</f>
        <v>C19</v>
      </c>
      <c r="G19" s="2" t="s">
        <v>413</v>
      </c>
      <c r="H19" s="2" t="s">
        <v>17</v>
      </c>
      <c r="I19" s="2" t="s">
        <v>1681</v>
      </c>
      <c r="J19" s="2" t="str">
        <f t="shared" si="0"/>
        <v>Blindness and vision impairment: 0</v>
      </c>
      <c r="K19" s="1" t="s">
        <v>2135</v>
      </c>
      <c r="L19" s="2">
        <v>3276</v>
      </c>
      <c r="M19" s="204">
        <f>'collected data-merged'!R11/'collected data-merged'!Q11</f>
        <v>1.5000000000000002</v>
      </c>
      <c r="N19" s="205">
        <f t="shared" si="1"/>
        <v>0</v>
      </c>
      <c r="O19" s="205">
        <f>'DCP3 causes and BoD CIV'!E11</f>
        <v>81126.73803709184</v>
      </c>
      <c r="P19" s="212">
        <f>N19/'DCP3 causes and BoD CIV'!E11</f>
        <v>0</v>
      </c>
      <c r="Q19" s="213">
        <f t="shared" si="2"/>
        <v>0</v>
      </c>
      <c r="R19" s="2">
        <f>'collected data-merged'!N11</f>
        <v>529.81331877729247</v>
      </c>
      <c r="S19" s="2">
        <f t="shared" si="3"/>
        <v>0.96329694323144088</v>
      </c>
      <c r="T19" s="206">
        <f>'collected data-merged'!T11</f>
        <v>0</v>
      </c>
      <c r="U19" s="219">
        <f t="shared" si="4"/>
        <v>0</v>
      </c>
      <c r="V19" s="2">
        <v>1</v>
      </c>
      <c r="W19" s="2">
        <v>1</v>
      </c>
    </row>
    <row r="20" spans="1:23" hidden="1">
      <c r="B20" s="1" t="s">
        <v>2275</v>
      </c>
      <c r="C20" s="1">
        <v>1</v>
      </c>
      <c r="D20" s="1" t="str">
        <f>'collected data-merged'!D12</f>
        <v>C2</v>
      </c>
      <c r="E20" s="1" t="s">
        <v>622</v>
      </c>
      <c r="F20" s="205" t="str">
        <f>'DCP3 causes and BoD CIV'!B12</f>
        <v>C2</v>
      </c>
      <c r="G20" s="2" t="s">
        <v>72</v>
      </c>
      <c r="H20" s="2" t="s">
        <v>17</v>
      </c>
      <c r="I20" s="2" t="s">
        <v>1612</v>
      </c>
      <c r="J20" s="2" t="str">
        <f t="shared" si="0"/>
        <v>Neonatal preterm birth: 0.000698108100861264</v>
      </c>
      <c r="K20" s="1" t="s">
        <v>2136</v>
      </c>
      <c r="L20" s="2">
        <v>237.02</v>
      </c>
      <c r="M20" s="204">
        <f>'collected data-merged'!R12/'collected data-merged'!Q12</f>
        <v>5.7142857142857144</v>
      </c>
      <c r="N20" s="205">
        <f t="shared" si="1"/>
        <v>87.941299923754372</v>
      </c>
      <c r="O20" s="205">
        <f>'DCP3 causes and BoD CIV'!E12</f>
        <v>719833.6664909895</v>
      </c>
      <c r="P20" s="212">
        <f>N20/'DCP3 causes and BoD CIV'!E12</f>
        <v>1.2216891765072114E-4</v>
      </c>
      <c r="Q20" s="213">
        <f t="shared" si="2"/>
        <v>6.981081008612637E-4</v>
      </c>
      <c r="R20" s="2">
        <f>'collected data-merged'!N12</f>
        <v>104.91587542598289</v>
      </c>
      <c r="S20" s="2">
        <f t="shared" si="3"/>
        <v>0.19075613713815071</v>
      </c>
      <c r="T20" s="206">
        <f>'collected data-merged'!T12</f>
        <v>16377308.284800779</v>
      </c>
      <c r="U20" s="219">
        <f t="shared" si="4"/>
        <v>29776.924154183234</v>
      </c>
      <c r="V20" s="2">
        <v>2</v>
      </c>
      <c r="W20" s="2">
        <v>2</v>
      </c>
    </row>
    <row r="21" spans="1:23" hidden="1">
      <c r="B21" s="1" t="s">
        <v>2275</v>
      </c>
      <c r="C21" s="1">
        <v>1</v>
      </c>
      <c r="D21" s="1" t="str">
        <f>'collected data-merged'!D13</f>
        <v>C20</v>
      </c>
      <c r="E21" s="1" t="s">
        <v>660</v>
      </c>
      <c r="F21" s="205" t="str">
        <f>'DCP3 causes and BoD CIV'!B13</f>
        <v>C20</v>
      </c>
      <c r="G21" s="2" t="s">
        <v>399</v>
      </c>
      <c r="H21" s="2" t="s">
        <v>17</v>
      </c>
      <c r="I21" s="2" t="s">
        <v>400</v>
      </c>
      <c r="J21" s="2" t="str">
        <f t="shared" si="0"/>
        <v>Cervical cancer: 4.24716374138602</v>
      </c>
      <c r="K21" s="1" t="s">
        <v>2201</v>
      </c>
      <c r="L21" s="2">
        <v>242</v>
      </c>
      <c r="M21" s="204">
        <f>'collected data-merged'!R13/'collected data-merged'!Q13</f>
        <v>2.5</v>
      </c>
      <c r="N21" s="205">
        <f t="shared" si="1"/>
        <v>31801.215764948203</v>
      </c>
      <c r="O21" s="205">
        <f>'DCP3 causes and BoD CIV'!E13</f>
        <v>18719.08978635833</v>
      </c>
      <c r="P21" s="212">
        <f>N21/'DCP3 causes and BoD CIV'!E13</f>
        <v>1.6988654965544085</v>
      </c>
      <c r="Q21" s="213">
        <f t="shared" si="2"/>
        <v>4.2471637413860215</v>
      </c>
      <c r="R21" s="2">
        <f>'collected data-merged'!N13</f>
        <v>8073.4794815421765</v>
      </c>
      <c r="S21" s="2">
        <f t="shared" si="3"/>
        <v>14.679053602803958</v>
      </c>
      <c r="T21" s="206">
        <f>'collected data-merged'!T13</f>
        <v>6046774026.163723</v>
      </c>
      <c r="U21" s="219">
        <f t="shared" si="4"/>
        <v>10994134.59302495</v>
      </c>
      <c r="V21" s="2">
        <v>1</v>
      </c>
      <c r="W21" s="2">
        <v>1</v>
      </c>
    </row>
    <row r="22" spans="1:23" ht="43.2" hidden="1">
      <c r="B22" s="1" t="s">
        <v>2275</v>
      </c>
      <c r="C22" s="1">
        <v>1</v>
      </c>
      <c r="D22" s="1" t="str">
        <f>'collected data-merged'!D14</f>
        <v>C21</v>
      </c>
      <c r="E22" s="1" t="s">
        <v>661</v>
      </c>
      <c r="F22" s="205" t="str">
        <f>'DCP3 causes and BoD CIV'!B14</f>
        <v>C21</v>
      </c>
      <c r="G22" s="2" t="s">
        <v>162</v>
      </c>
      <c r="H22" s="2" t="s">
        <v>17</v>
      </c>
      <c r="I22" s="2" t="s">
        <v>2016</v>
      </c>
      <c r="J22" s="2" t="str">
        <f t="shared" si="0"/>
        <v>Lymphatic filariasis; Onchocerciasis; Schistosomiasis; Trachoma; Food-borne trematodiases: 14.0363556651942</v>
      </c>
      <c r="K22" s="1" t="s">
        <v>2202</v>
      </c>
      <c r="L22" s="2">
        <v>11</v>
      </c>
      <c r="M22" s="204">
        <f>'collected data-merged'!R14/'collected data-merged'!Q14</f>
        <v>1.3768115942028987</v>
      </c>
      <c r="N22" s="205">
        <f t="shared" si="1"/>
        <v>592270.42767802707</v>
      </c>
      <c r="O22" s="205">
        <f>'DCP3 causes and BoD CIV'!E14</f>
        <v>58095.193024544504</v>
      </c>
      <c r="P22" s="212">
        <f>N22/'DCP3 causes and BoD CIV'!E14</f>
        <v>10.194826746298959</v>
      </c>
      <c r="Q22" s="213">
        <f t="shared" si="2"/>
        <v>14.03635566519422</v>
      </c>
      <c r="R22" s="2">
        <f>'collected data-merged'!N14</f>
        <v>401.47132149243106</v>
      </c>
      <c r="S22" s="2">
        <f t="shared" si="3"/>
        <v>0.7299478572589656</v>
      </c>
      <c r="T22" s="206">
        <f>'collected data-merged'!T14</f>
        <v>5118908696.3600912</v>
      </c>
      <c r="U22" s="219">
        <f t="shared" si="4"/>
        <v>9307106.7206547111</v>
      </c>
      <c r="V22" s="2">
        <v>1</v>
      </c>
      <c r="W22" s="2">
        <v>1</v>
      </c>
    </row>
    <row r="23" spans="1:23" hidden="1">
      <c r="B23" s="1" t="s">
        <v>2275</v>
      </c>
      <c r="C23" s="1">
        <v>1</v>
      </c>
      <c r="D23" s="1" t="str">
        <f>'collected data-merged'!D15</f>
        <v>C25</v>
      </c>
      <c r="E23" s="1" t="s">
        <v>675</v>
      </c>
      <c r="F23" s="205" t="str">
        <f>'DCP3 causes and BoD CIV'!B15</f>
        <v>C25</v>
      </c>
      <c r="G23" s="2" t="s">
        <v>90</v>
      </c>
      <c r="H23" s="2" t="s">
        <v>17</v>
      </c>
      <c r="I23" s="2" t="s">
        <v>343</v>
      </c>
      <c r="J23" s="2" t="str">
        <f t="shared" si="0"/>
        <v>Interpersonal violence: 0</v>
      </c>
      <c r="K23" s="1" t="s">
        <v>2137</v>
      </c>
      <c r="L23" s="2">
        <v>2908</v>
      </c>
      <c r="M23" s="204">
        <f>'collected data-merged'!R15/'collected data-merged'!Q15</f>
        <v>1.5000000000000002</v>
      </c>
      <c r="N23" s="205">
        <f t="shared" si="1"/>
        <v>0</v>
      </c>
      <c r="O23" s="205">
        <f>'DCP3 causes and BoD CIV'!E15</f>
        <v>139465.81411610241</v>
      </c>
      <c r="P23" s="212">
        <f>N23/'DCP3 causes and BoD CIV'!E15</f>
        <v>0</v>
      </c>
      <c r="Q23" s="213">
        <f t="shared" si="2"/>
        <v>0</v>
      </c>
      <c r="R23" s="2">
        <f>'collected data-merged'!N15</f>
        <v>191.5436624749596</v>
      </c>
      <c r="S23" s="2">
        <f t="shared" si="3"/>
        <v>0.34826120449992654</v>
      </c>
      <c r="T23" s="206">
        <f>'collected data-merged'!T15</f>
        <v>0</v>
      </c>
      <c r="U23" s="219">
        <f t="shared" si="4"/>
        <v>0</v>
      </c>
      <c r="V23" s="2">
        <v>1</v>
      </c>
      <c r="W23" s="2">
        <v>1</v>
      </c>
    </row>
    <row r="24" spans="1:23" hidden="1">
      <c r="B24" s="1" t="s">
        <v>2275</v>
      </c>
      <c r="C24" s="1">
        <v>1</v>
      </c>
      <c r="D24" s="1" t="str">
        <f>'collected data-merged'!D16</f>
        <v>C27</v>
      </c>
      <c r="E24" s="1" t="s">
        <v>677</v>
      </c>
      <c r="F24" s="205" t="str">
        <f>'DCP3 causes and BoD CIV'!B16</f>
        <v>C27</v>
      </c>
      <c r="G24" s="2" t="s">
        <v>142</v>
      </c>
      <c r="H24" s="2" t="s">
        <v>17</v>
      </c>
      <c r="I24" s="2" t="s">
        <v>464</v>
      </c>
      <c r="J24" s="2" t="str">
        <f t="shared" si="0"/>
        <v>Maternal disorders: 0.121511209210599</v>
      </c>
      <c r="K24" s="1" t="str">
        <f>J24</f>
        <v>Maternal disorders: 0.121511209210599</v>
      </c>
      <c r="L24" s="2">
        <v>285</v>
      </c>
      <c r="M24" s="204">
        <f>'collected data-merged'!R16/'collected data-merged'!Q16</f>
        <v>1.2949152542372881</v>
      </c>
      <c r="N24" s="205">
        <f t="shared" si="1"/>
        <v>14336.316411127718</v>
      </c>
      <c r="O24" s="205">
        <f>'DCP3 causes and BoD CIV'!E16</f>
        <v>152778.61961003591</v>
      </c>
      <c r="P24" s="212">
        <f>N24/'DCP3 causes and BoD CIV'!E16</f>
        <v>9.3837190358970729E-2</v>
      </c>
      <c r="Q24" s="213">
        <f t="shared" si="2"/>
        <v>0.12151120921059938</v>
      </c>
      <c r="R24" s="2">
        <f>'collected data-merged'!N16</f>
        <v>4880.0221770378448</v>
      </c>
      <c r="S24" s="2">
        <f t="shared" si="3"/>
        <v>8.8727675946142632</v>
      </c>
      <c r="T24" s="206">
        <f>'collected data-merged'!T16</f>
        <v>3210310853.4918141</v>
      </c>
      <c r="U24" s="219">
        <f t="shared" si="4"/>
        <v>5836928.8245305708</v>
      </c>
      <c r="V24" s="2">
        <v>2</v>
      </c>
      <c r="W24" s="2">
        <v>1</v>
      </c>
    </row>
    <row r="25" spans="1:23" hidden="1">
      <c r="B25" s="1" t="s">
        <v>2275</v>
      </c>
      <c r="C25" s="1">
        <v>1</v>
      </c>
      <c r="D25" s="1" t="str">
        <f>'collected data-merged'!D17</f>
        <v>C28</v>
      </c>
      <c r="E25" s="1" t="s">
        <v>686</v>
      </c>
      <c r="F25" s="205" t="str">
        <f>'DCP3 causes and BoD CIV'!B17</f>
        <v>C28</v>
      </c>
      <c r="G25" s="2" t="s">
        <v>62</v>
      </c>
      <c r="H25" s="2" t="s">
        <v>17</v>
      </c>
      <c r="I25" s="2" t="s">
        <v>310</v>
      </c>
      <c r="J25" s="2" t="str">
        <f t="shared" si="0"/>
        <v>HIV/AIDS: 1.25429605883989</v>
      </c>
      <c r="K25" s="1" t="s">
        <v>2203</v>
      </c>
      <c r="L25" s="2">
        <v>2400</v>
      </c>
      <c r="M25" s="204">
        <f>'collected data-merged'!R17/'collected data-merged'!Q17</f>
        <v>4</v>
      </c>
      <c r="N25" s="205">
        <f t="shared" si="1"/>
        <v>6511.5634191297167</v>
      </c>
      <c r="O25" s="205">
        <f>'DCP3 causes and BoD CIV'!E17</f>
        <v>20765.6346306384</v>
      </c>
      <c r="P25" s="212">
        <f>N25/'DCP3 causes and BoD CIV'!E17</f>
        <v>0.31357401470997232</v>
      </c>
      <c r="Q25" s="213">
        <f t="shared" si="2"/>
        <v>1.2542960588398893</v>
      </c>
      <c r="R25" s="2">
        <f>'collected data-merged'!N17</f>
        <v>4366.1599721383645</v>
      </c>
      <c r="S25" s="2">
        <f t="shared" si="3"/>
        <v>7.9384726766152083</v>
      </c>
      <c r="T25" s="206">
        <f>'collected data-merged'!T17</f>
        <v>12278948161.787466</v>
      </c>
      <c r="U25" s="219">
        <f t="shared" si="4"/>
        <v>22325360.294159029</v>
      </c>
      <c r="V25" s="2">
        <v>4</v>
      </c>
      <c r="W25" s="2">
        <v>1</v>
      </c>
    </row>
    <row r="26" spans="1:23" hidden="1">
      <c r="B26" s="1" t="s">
        <v>2275</v>
      </c>
      <c r="C26" s="1">
        <v>1</v>
      </c>
      <c r="D26" s="1" t="str">
        <f>'collected data-merged'!D18</f>
        <v>C29</v>
      </c>
      <c r="E26" s="1" t="s">
        <v>687</v>
      </c>
      <c r="F26" s="205" t="str">
        <f>'DCP3 causes and BoD CIV'!B18</f>
        <v>C29</v>
      </c>
      <c r="G26" s="2" t="s">
        <v>356</v>
      </c>
      <c r="H26" s="2" t="s">
        <v>17</v>
      </c>
      <c r="I26" s="2" t="s">
        <v>310</v>
      </c>
      <c r="J26" s="2" t="str">
        <f t="shared" si="0"/>
        <v>HIV/AIDS: 0</v>
      </c>
      <c r="K26" s="1" t="s">
        <v>2139</v>
      </c>
      <c r="L26" s="2">
        <v>1400</v>
      </c>
      <c r="M26" s="204">
        <f>'collected data-merged'!R18/'collected data-merged'!Q18</f>
        <v>4</v>
      </c>
      <c r="N26" s="205">
        <f t="shared" si="1"/>
        <v>0</v>
      </c>
      <c r="O26" s="205">
        <f>'DCP3 causes and BoD CIV'!E18</f>
        <v>20765.6346306384</v>
      </c>
      <c r="P26" s="212">
        <f>N26/'DCP3 causes and BoD CIV'!E18</f>
        <v>0</v>
      </c>
      <c r="Q26" s="213">
        <f t="shared" si="2"/>
        <v>0</v>
      </c>
      <c r="R26" s="2">
        <f>'collected data-merged'!N18</f>
        <v>4366.1599721383645</v>
      </c>
      <c r="S26" s="2">
        <f t="shared" si="3"/>
        <v>7.9384726766152083</v>
      </c>
      <c r="T26" s="206">
        <f>'collected data-merged'!T18</f>
        <v>0</v>
      </c>
      <c r="U26" s="219">
        <f t="shared" si="4"/>
        <v>0</v>
      </c>
      <c r="V26" s="2">
        <v>3</v>
      </c>
      <c r="W26" s="2">
        <v>1</v>
      </c>
    </row>
    <row r="27" spans="1:23" ht="57.6" hidden="1">
      <c r="B27" s="1" t="s">
        <v>2275</v>
      </c>
      <c r="C27" s="1">
        <v>1</v>
      </c>
      <c r="D27" s="1" t="str">
        <f>'collected data-merged'!D19</f>
        <v>C3</v>
      </c>
      <c r="E27" s="1" t="s">
        <v>623</v>
      </c>
      <c r="F27" s="205" t="str">
        <f>'DCP3 causes and BoD CIV'!B19</f>
        <v>C3</v>
      </c>
      <c r="G27" s="2" t="s">
        <v>152</v>
      </c>
      <c r="H27" s="2" t="s">
        <v>17</v>
      </c>
      <c r="I27" s="2" t="s">
        <v>2017</v>
      </c>
      <c r="J27" s="2" t="str">
        <f t="shared" si="0"/>
        <v>Maternal disorders; Neonatal preterm birth; Neonatal encephalopathy due to birth asphyxia and trauma; Neonatal sepsis and other neonatal infections; Other neonatal disorders: 7.31946586935663</v>
      </c>
      <c r="K27" s="1" t="s">
        <v>2204</v>
      </c>
      <c r="L27" s="2">
        <v>0.05</v>
      </c>
      <c r="M27" s="204">
        <f>'collected data-merged'!R19/'collected data-merged'!Q19</f>
        <v>1.0869565217391306</v>
      </c>
      <c r="N27" s="205">
        <f t="shared" si="1"/>
        <v>23494312.137871314</v>
      </c>
      <c r="O27" s="205">
        <f>'DCP3 causes and BoD CIV'!E19</f>
        <v>3488956.1967830784</v>
      </c>
      <c r="P27" s="212">
        <f>N27/'DCP3 causes and BoD CIV'!E19</f>
        <v>6.7339085998080943</v>
      </c>
      <c r="Q27" s="213">
        <f t="shared" si="2"/>
        <v>7.319465869356625</v>
      </c>
      <c r="R27" s="2">
        <f>'collected data-merged'!N19</f>
        <v>1194.4577999999999</v>
      </c>
      <c r="S27" s="2">
        <f t="shared" si="3"/>
        <v>2.1717414545454545</v>
      </c>
      <c r="T27" s="206">
        <f>'collected data-merged'!T19</f>
        <v>922990833.98780155</v>
      </c>
      <c r="U27" s="219">
        <f t="shared" si="4"/>
        <v>1678165.1527050938</v>
      </c>
      <c r="V27" s="2">
        <v>4</v>
      </c>
      <c r="W27" s="2">
        <v>3</v>
      </c>
    </row>
    <row r="28" spans="1:23" hidden="1">
      <c r="B28" s="1" t="s">
        <v>2275</v>
      </c>
      <c r="C28" s="1">
        <v>1</v>
      </c>
      <c r="D28" s="1" t="str">
        <f>'collected data-merged'!D20</f>
        <v>C30</v>
      </c>
      <c r="E28" s="1" t="s">
        <v>688</v>
      </c>
      <c r="F28" s="205" t="str">
        <f>'DCP3 causes and BoD CIV'!B20</f>
        <v>C30</v>
      </c>
      <c r="G28" s="2" t="s">
        <v>204</v>
      </c>
      <c r="H28" s="2" t="s">
        <v>17</v>
      </c>
      <c r="I28" s="2" t="s">
        <v>2018</v>
      </c>
      <c r="J28" s="2" t="str">
        <f t="shared" si="0"/>
        <v>HIV/AIDS and sexually transmitted infections: 0.905251738469226</v>
      </c>
      <c r="K28" s="1" t="s">
        <v>2322</v>
      </c>
      <c r="L28" s="2">
        <v>1</v>
      </c>
      <c r="M28" s="204">
        <f>'collected data-merged'!R20/'collected data-merged'!Q20</f>
        <v>1.0256410256410258</v>
      </c>
      <c r="N28" s="205">
        <f t="shared" si="1"/>
        <v>92610.985014780497</v>
      </c>
      <c r="O28" s="205">
        <f>'DCP3 causes and BoD CIV'!E20</f>
        <v>104927.3054330778</v>
      </c>
      <c r="P28" s="212">
        <f>N28/'DCP3 causes and BoD CIV'!E20</f>
        <v>0.88262044500749526</v>
      </c>
      <c r="Q28" s="213">
        <f t="shared" si="2"/>
        <v>0.90525173846922602</v>
      </c>
      <c r="R28" s="2">
        <f>'collected data-merged'!N20</f>
        <v>1504.5504291754428</v>
      </c>
      <c r="S28" s="2">
        <f t="shared" si="3"/>
        <v>2.7355462348644415</v>
      </c>
      <c r="T28" s="206">
        <f>'collected data-merged'!T20</f>
        <v>72765773.940184683</v>
      </c>
      <c r="U28" s="219">
        <f t="shared" si="4"/>
        <v>132301.40716397215</v>
      </c>
      <c r="V28" s="2">
        <v>2</v>
      </c>
      <c r="W28" s="2">
        <v>1</v>
      </c>
    </row>
    <row r="29" spans="1:23" hidden="1">
      <c r="B29" s="1" t="s">
        <v>2275</v>
      </c>
      <c r="C29" s="1">
        <v>1</v>
      </c>
      <c r="D29" s="1" t="str">
        <f>'collected data-merged'!D21</f>
        <v>C31</v>
      </c>
      <c r="E29" s="1" t="s">
        <v>689</v>
      </c>
      <c r="F29" s="205" t="str">
        <f>'DCP3 causes and BoD CIV'!B21</f>
        <v>C31</v>
      </c>
      <c r="G29" s="2" t="s">
        <v>393</v>
      </c>
      <c r="H29" s="2" t="s">
        <v>17</v>
      </c>
      <c r="I29" s="2" t="s">
        <v>2019</v>
      </c>
      <c r="J29" s="2" t="str">
        <f t="shared" si="0"/>
        <v>Substance use disorders: 2.16879686746899E-06</v>
      </c>
      <c r="K29" s="1" t="s">
        <v>2183</v>
      </c>
      <c r="L29" s="2">
        <v>3324</v>
      </c>
      <c r="M29" s="204">
        <f>'collected data-merged'!R21/'collected data-merged'!Q21</f>
        <v>1.0526315789473684</v>
      </c>
      <c r="N29" s="205">
        <f t="shared" si="1"/>
        <v>0.17362211213273845</v>
      </c>
      <c r="O29" s="205">
        <f>'DCP3 causes and BoD CIV'!E21</f>
        <v>84267.973997834488</v>
      </c>
      <c r="P29" s="212">
        <f>N29/'DCP3 causes and BoD CIV'!E21</f>
        <v>2.0603570240955383E-6</v>
      </c>
      <c r="Q29" s="213">
        <f t="shared" si="2"/>
        <v>2.1687968674689874E-6</v>
      </c>
      <c r="R29" s="2">
        <f>'collected data-merged'!N21</f>
        <v>4681.783693595341</v>
      </c>
      <c r="S29" s="2">
        <f t="shared" si="3"/>
        <v>8.5123339883551647</v>
      </c>
      <c r="T29" s="206">
        <f>'collected data-merged'!T21</f>
        <v>453451.35057296063</v>
      </c>
      <c r="U29" s="219">
        <f t="shared" si="4"/>
        <v>824.45700104174659</v>
      </c>
      <c r="V29" s="2">
        <v>3</v>
      </c>
      <c r="W29" s="2">
        <v>2</v>
      </c>
    </row>
    <row r="30" spans="1:23" hidden="1">
      <c r="A30" s="1" t="s">
        <v>2283</v>
      </c>
      <c r="B30" s="1" t="s">
        <v>2275</v>
      </c>
      <c r="C30" s="1">
        <v>1</v>
      </c>
      <c r="D30" s="1" t="str">
        <f>'collected data-merged'!D22</f>
        <v>C32</v>
      </c>
      <c r="E30" s="1" t="s">
        <v>690</v>
      </c>
      <c r="F30" s="205" t="str">
        <f>'DCP3 causes and BoD CIV'!B22</f>
        <v>C32</v>
      </c>
      <c r="G30" s="2" t="s">
        <v>264</v>
      </c>
      <c r="H30" s="2" t="s">
        <v>17</v>
      </c>
      <c r="I30" s="2" t="s">
        <v>320</v>
      </c>
      <c r="J30" s="2" t="str">
        <f t="shared" si="0"/>
        <v>Tuberculosis: 0.000642293663828047</v>
      </c>
      <c r="K30" s="1" t="s">
        <v>2141</v>
      </c>
      <c r="L30" s="6">
        <v>402.5</v>
      </c>
      <c r="M30" s="204">
        <f>'collected data-merged'!R22/'collected data-merged'!Q22</f>
        <v>2.7586206896551726</v>
      </c>
      <c r="N30" s="205">
        <f t="shared" si="1"/>
        <v>81.13683445354782</v>
      </c>
      <c r="O30" s="205">
        <f>'DCP3 causes and BoD CIV'!E22</f>
        <v>348478.83892033168</v>
      </c>
      <c r="P30" s="212">
        <f>N30/'DCP3 causes and BoD CIV'!E22</f>
        <v>2.3283145313766703E-4</v>
      </c>
      <c r="Q30" s="213">
        <f t="shared" si="2"/>
        <v>6.4229366382804705E-4</v>
      </c>
      <c r="R30" s="2">
        <f>'collected data-merged'!N22</f>
        <v>4816.4847161572043</v>
      </c>
      <c r="S30" s="2">
        <f t="shared" si="3"/>
        <v>8.757244938467645</v>
      </c>
      <c r="T30" s="206">
        <f>'collected data-merged'!T22</f>
        <v>25659523.895934496</v>
      </c>
      <c r="U30" s="219">
        <f t="shared" si="4"/>
        <v>46653.679810789996</v>
      </c>
      <c r="V30" s="2">
        <v>1</v>
      </c>
      <c r="W30" s="2">
        <v>3</v>
      </c>
    </row>
    <row r="31" spans="1:23" hidden="1">
      <c r="A31" s="1" t="s">
        <v>2283</v>
      </c>
      <c r="B31" s="1" t="s">
        <v>2275</v>
      </c>
      <c r="C31" s="1">
        <v>1</v>
      </c>
      <c r="D31" s="1" t="str">
        <f>'collected data-merged'!D23</f>
        <v>C33</v>
      </c>
      <c r="E31" s="1" t="s">
        <v>717</v>
      </c>
      <c r="F31" s="205" t="str">
        <f>'DCP3 causes and BoD CIV'!B23</f>
        <v>C33</v>
      </c>
      <c r="G31" s="2" t="s">
        <v>351</v>
      </c>
      <c r="H31" s="2" t="s">
        <v>17</v>
      </c>
      <c r="I31" s="2" t="s">
        <v>330</v>
      </c>
      <c r="J31" s="2" t="str">
        <f t="shared" si="0"/>
        <v>Malaria: 0</v>
      </c>
      <c r="K31" s="1" t="s">
        <v>2134</v>
      </c>
      <c r="L31" s="6">
        <v>402.5</v>
      </c>
      <c r="M31" s="204">
        <f>'collected data-merged'!R23/'collected data-merged'!Q23</f>
        <v>4</v>
      </c>
      <c r="N31" s="205">
        <f t="shared" si="1"/>
        <v>0</v>
      </c>
      <c r="O31" s="205">
        <f>'DCP3 causes and BoD CIV'!E23</f>
        <v>1112317.6610511751</v>
      </c>
      <c r="P31" s="212">
        <f>N31/'DCP3 causes and BoD CIV'!E23</f>
        <v>0</v>
      </c>
      <c r="Q31" s="213">
        <f t="shared" si="2"/>
        <v>0</v>
      </c>
      <c r="R31" s="2">
        <f>'collected data-merged'!N23</f>
        <v>560.7190957059679</v>
      </c>
      <c r="S31" s="2">
        <f t="shared" si="3"/>
        <v>1.0194892649199416</v>
      </c>
      <c r="T31" s="206">
        <f>'collected data-merged'!T23</f>
        <v>0</v>
      </c>
      <c r="U31" s="219">
        <f t="shared" si="4"/>
        <v>0</v>
      </c>
      <c r="V31" s="2">
        <v>2</v>
      </c>
      <c r="W31" s="2">
        <v>1</v>
      </c>
    </row>
    <row r="32" spans="1:23" ht="28.8" hidden="1">
      <c r="B32" s="1" t="s">
        <v>2275</v>
      </c>
      <c r="C32" s="1">
        <v>1</v>
      </c>
      <c r="D32" s="1" t="str">
        <f>'collected data-merged'!D24</f>
        <v>C34</v>
      </c>
      <c r="E32" s="1" t="s">
        <v>718</v>
      </c>
      <c r="F32" s="205" t="str">
        <f>'DCP3 causes and BoD CIV'!B24</f>
        <v>C34</v>
      </c>
      <c r="G32" s="2" t="s">
        <v>328</v>
      </c>
      <c r="H32" s="2" t="s">
        <v>17</v>
      </c>
      <c r="I32" s="2" t="s">
        <v>2313</v>
      </c>
      <c r="J32" s="2" t="str">
        <f t="shared" si="0"/>
        <v>Malaria; Dengue; Zika virus; Encephalitis; Yellow fever: 0</v>
      </c>
      <c r="K32" s="1" t="s">
        <v>2314</v>
      </c>
      <c r="L32" s="2">
        <v>175</v>
      </c>
      <c r="M32" s="204">
        <f>'collected data-merged'!R24/'collected data-merged'!Q24</f>
        <v>4</v>
      </c>
      <c r="N32" s="205">
        <f t="shared" si="1"/>
        <v>0</v>
      </c>
      <c r="O32" s="205">
        <f>'DCP3 causes and BoD CIV'!E24</f>
        <v>1137160.0260271679</v>
      </c>
      <c r="P32" s="212">
        <f>N32/'DCP3 causes and BoD CIV'!E24</f>
        <v>0</v>
      </c>
      <c r="Q32" s="213">
        <f t="shared" si="2"/>
        <v>0</v>
      </c>
      <c r="R32" s="2">
        <f>'collected data-merged'!N24</f>
        <v>2080.2525942088432</v>
      </c>
      <c r="S32" s="2">
        <f t="shared" si="3"/>
        <v>3.7822774440160787</v>
      </c>
      <c r="T32" s="206">
        <f>'collected data-merged'!T24</f>
        <v>0</v>
      </c>
      <c r="U32" s="219">
        <f t="shared" si="4"/>
        <v>0</v>
      </c>
      <c r="V32" s="2">
        <v>2</v>
      </c>
      <c r="W32" s="2">
        <v>1</v>
      </c>
    </row>
    <row r="33" spans="1:23" hidden="1">
      <c r="B33" s="1" t="s">
        <v>2275</v>
      </c>
      <c r="C33" s="1">
        <v>1</v>
      </c>
      <c r="D33" s="1" t="str">
        <f>'collected data-merged'!D25</f>
        <v>C35</v>
      </c>
      <c r="E33" s="1" t="s">
        <v>719</v>
      </c>
      <c r="F33" s="205" t="str">
        <f>'DCP3 causes and BoD CIV'!B25</f>
        <v>C35</v>
      </c>
      <c r="G33" s="2" t="s">
        <v>81</v>
      </c>
      <c r="H33" s="2" t="s">
        <v>17</v>
      </c>
      <c r="I33" s="2" t="s">
        <v>330</v>
      </c>
      <c r="J33" s="2" t="str">
        <f t="shared" si="0"/>
        <v>Malaria: 0.698038258369592</v>
      </c>
      <c r="K33" s="1" t="s">
        <v>2142</v>
      </c>
      <c r="L33" s="2">
        <v>31</v>
      </c>
      <c r="M33" s="204">
        <f>'collected data-merged'!R25/'collected data-merged'!Q25</f>
        <v>1.25</v>
      </c>
      <c r="N33" s="205">
        <f t="shared" si="1"/>
        <v>621152.22629912011</v>
      </c>
      <c r="O33" s="205">
        <f>'DCP3 causes and BoD CIV'!E25</f>
        <v>1112317.6610511751</v>
      </c>
      <c r="P33" s="212">
        <f>N33/'DCP3 causes and BoD CIV'!E25</f>
        <v>0.55843060669567335</v>
      </c>
      <c r="Q33" s="213">
        <f t="shared" si="2"/>
        <v>0.69803825836959166</v>
      </c>
      <c r="R33" s="2">
        <f>'collected data-merged'!N25</f>
        <v>7000</v>
      </c>
      <c r="S33" s="2">
        <f t="shared" si="3"/>
        <v>12.727272727272727</v>
      </c>
      <c r="T33" s="206">
        <f>'collected data-merged'!T25</f>
        <v>15129493512</v>
      </c>
      <c r="U33" s="219">
        <f t="shared" si="4"/>
        <v>27508170.021818183</v>
      </c>
      <c r="V33" s="2">
        <v>3</v>
      </c>
      <c r="W33" s="2">
        <v>1</v>
      </c>
    </row>
    <row r="34" spans="1:23" hidden="1">
      <c r="B34" s="1" t="s">
        <v>2275</v>
      </c>
      <c r="C34" s="1">
        <v>1</v>
      </c>
      <c r="D34" s="1" t="str">
        <f>'collected data-merged'!D26</f>
        <v>C36</v>
      </c>
      <c r="E34" s="1" t="s">
        <v>720</v>
      </c>
      <c r="F34" s="205" t="str">
        <f>'DCP3 causes and BoD CIV'!B26</f>
        <v>C36</v>
      </c>
      <c r="G34" s="2" t="s">
        <v>197</v>
      </c>
      <c r="H34" s="2" t="s">
        <v>17</v>
      </c>
      <c r="I34" s="2" t="s">
        <v>330</v>
      </c>
      <c r="J34" s="2" t="str">
        <f t="shared" si="0"/>
        <v>Malaria: 0</v>
      </c>
      <c r="K34" s="1" t="s">
        <v>2134</v>
      </c>
      <c r="L34" s="2">
        <v>93</v>
      </c>
      <c r="M34" s="204">
        <f>'collected data-merged'!R26/'collected data-merged'!Q26</f>
        <v>4</v>
      </c>
      <c r="N34" s="205">
        <f t="shared" si="1"/>
        <v>0</v>
      </c>
      <c r="O34" s="205">
        <f>'DCP3 causes and BoD CIV'!E26</f>
        <v>1112317.6610511751</v>
      </c>
      <c r="P34" s="212">
        <f>N34/'DCP3 causes and BoD CIV'!E26</f>
        <v>0</v>
      </c>
      <c r="Q34" s="213">
        <f t="shared" si="2"/>
        <v>0</v>
      </c>
      <c r="R34" s="2">
        <f>'collected data-merged'!N26</f>
        <v>10000</v>
      </c>
      <c r="S34" s="2">
        <f t="shared" si="3"/>
        <v>18.181818181818183</v>
      </c>
      <c r="T34" s="206">
        <f>'collected data-merged'!T26</f>
        <v>0</v>
      </c>
      <c r="U34" s="219">
        <f t="shared" si="4"/>
        <v>0</v>
      </c>
      <c r="V34" s="2">
        <v>3</v>
      </c>
      <c r="W34" s="2">
        <v>1</v>
      </c>
    </row>
    <row r="35" spans="1:23" hidden="1">
      <c r="B35" s="1" t="s">
        <v>2275</v>
      </c>
      <c r="C35" s="1">
        <v>1</v>
      </c>
      <c r="D35" s="1" t="str">
        <f>'collected data-merged'!D27</f>
        <v>C37</v>
      </c>
      <c r="E35" s="1" t="s">
        <v>721</v>
      </c>
      <c r="F35" s="205" t="str">
        <f>'DCP3 causes and BoD CIV'!B27</f>
        <v>C37</v>
      </c>
      <c r="G35" s="2" t="s">
        <v>364</v>
      </c>
      <c r="H35" s="2" t="s">
        <v>17</v>
      </c>
      <c r="I35" s="2" t="s">
        <v>330</v>
      </c>
      <c r="J35" s="2" t="str">
        <f t="shared" si="0"/>
        <v>Malaria: 0</v>
      </c>
      <c r="K35" s="1" t="s">
        <v>2134</v>
      </c>
      <c r="L35" s="2">
        <v>49</v>
      </c>
      <c r="M35" s="204">
        <f>'collected data-merged'!R27/'collected data-merged'!Q27</f>
        <v>4</v>
      </c>
      <c r="N35" s="205">
        <f t="shared" si="1"/>
        <v>0</v>
      </c>
      <c r="O35" s="205">
        <f>'DCP3 causes and BoD CIV'!E27</f>
        <v>1112317.6610511751</v>
      </c>
      <c r="P35" s="212">
        <f>N35/'DCP3 causes and BoD CIV'!E27</f>
        <v>0</v>
      </c>
      <c r="Q35" s="213">
        <f t="shared" si="2"/>
        <v>0</v>
      </c>
      <c r="R35" s="2">
        <f>'collected data-merged'!N27</f>
        <v>431.15880198614445</v>
      </c>
      <c r="S35" s="2">
        <f t="shared" si="3"/>
        <v>0.7839250945202626</v>
      </c>
      <c r="T35" s="206">
        <f>'collected data-merged'!T27</f>
        <v>0</v>
      </c>
      <c r="U35" s="219">
        <f t="shared" si="4"/>
        <v>0</v>
      </c>
      <c r="V35" s="2">
        <v>1</v>
      </c>
      <c r="W35" s="2">
        <v>1</v>
      </c>
    </row>
    <row r="36" spans="1:23" hidden="1">
      <c r="B36" s="1" t="s">
        <v>2275</v>
      </c>
      <c r="C36" s="1">
        <v>1</v>
      </c>
      <c r="D36" s="1" t="str">
        <f>'collected data-merged'!D28</f>
        <v>C38</v>
      </c>
      <c r="E36" s="1" t="s">
        <v>722</v>
      </c>
      <c r="F36" s="205" t="str">
        <f>'DCP3 causes and BoD CIV'!B28</f>
        <v>C38</v>
      </c>
      <c r="G36" s="2" t="s">
        <v>201</v>
      </c>
      <c r="H36" s="2" t="s">
        <v>17</v>
      </c>
      <c r="I36" s="2" t="s">
        <v>330</v>
      </c>
      <c r="J36" s="2" t="str">
        <f t="shared" si="0"/>
        <v>Malaria: 0</v>
      </c>
      <c r="K36" s="1" t="s">
        <v>2134</v>
      </c>
      <c r="L36" s="2">
        <v>6</v>
      </c>
      <c r="M36" s="204">
        <f>'collected data-merged'!R28/'collected data-merged'!Q28</f>
        <v>4</v>
      </c>
      <c r="N36" s="205">
        <f t="shared" si="1"/>
        <v>0</v>
      </c>
      <c r="O36" s="205">
        <f>'DCP3 causes and BoD CIV'!E28</f>
        <v>1112317.6610511751</v>
      </c>
      <c r="P36" s="212">
        <f>N36/'DCP3 causes and BoD CIV'!E28</f>
        <v>0</v>
      </c>
      <c r="Q36" s="213">
        <f t="shared" si="2"/>
        <v>0</v>
      </c>
      <c r="R36" s="2">
        <f>'collected data-merged'!N28</f>
        <v>17.863539064774379</v>
      </c>
      <c r="S36" s="2">
        <f t="shared" si="3"/>
        <v>3.2479161935953418E-2</v>
      </c>
      <c r="T36" s="206">
        <f>'collected data-merged'!T28</f>
        <v>0</v>
      </c>
      <c r="U36" s="219">
        <f t="shared" si="4"/>
        <v>0</v>
      </c>
      <c r="V36" s="2">
        <v>2</v>
      </c>
      <c r="W36" s="2">
        <v>1</v>
      </c>
    </row>
    <row r="37" spans="1:23" hidden="1">
      <c r="B37" s="1" t="s">
        <v>2275</v>
      </c>
      <c r="C37" s="1">
        <v>1</v>
      </c>
      <c r="D37" s="1" t="str">
        <f>'collected data-merged'!D29</f>
        <v>C39</v>
      </c>
      <c r="E37" s="1" t="s">
        <v>723</v>
      </c>
      <c r="F37" s="205" t="str">
        <f>'DCP3 causes and BoD CIV'!B29</f>
        <v>C39</v>
      </c>
      <c r="G37" s="2" t="s">
        <v>54</v>
      </c>
      <c r="H37" s="2" t="s">
        <v>17</v>
      </c>
      <c r="I37" s="2" t="s">
        <v>330</v>
      </c>
      <c r="J37" s="2" t="str">
        <f t="shared" si="0"/>
        <v>Malaria: 0</v>
      </c>
      <c r="K37" s="1" t="s">
        <v>2134</v>
      </c>
      <c r="L37" s="2">
        <v>6</v>
      </c>
      <c r="M37" s="204">
        <f>'collected data-merged'!R29/'collected data-merged'!Q29</f>
        <v>4</v>
      </c>
      <c r="N37" s="205">
        <f t="shared" si="1"/>
        <v>0</v>
      </c>
      <c r="O37" s="205">
        <f>'DCP3 causes and BoD CIV'!E29</f>
        <v>1112317.6610511751</v>
      </c>
      <c r="P37" s="212">
        <f>N37/'DCP3 causes and BoD CIV'!E29</f>
        <v>0</v>
      </c>
      <c r="Q37" s="213">
        <f t="shared" si="2"/>
        <v>0</v>
      </c>
      <c r="R37" s="2">
        <f>'collected data-merged'!N29</f>
        <v>1570.9206532183814</v>
      </c>
      <c r="S37" s="2">
        <f t="shared" si="3"/>
        <v>2.8562193694879663</v>
      </c>
      <c r="T37" s="206">
        <f>'collected data-merged'!T29</f>
        <v>0</v>
      </c>
      <c r="U37" s="219">
        <f t="shared" si="4"/>
        <v>0</v>
      </c>
      <c r="V37" s="2">
        <v>1</v>
      </c>
      <c r="W37" s="2">
        <v>1</v>
      </c>
    </row>
    <row r="38" spans="1:23" ht="28.8" hidden="1">
      <c r="B38" s="1" t="s">
        <v>2275</v>
      </c>
      <c r="C38" s="1">
        <v>1</v>
      </c>
      <c r="D38" s="1" t="str">
        <f>'collected data-merged'!D30</f>
        <v>C4</v>
      </c>
      <c r="E38" s="1" t="s">
        <v>641</v>
      </c>
      <c r="F38" s="205" t="str">
        <f>'DCP3 causes and BoD CIV'!B30</f>
        <v>C4</v>
      </c>
      <c r="G38" s="2" t="s">
        <v>202</v>
      </c>
      <c r="H38" s="2" t="s">
        <v>17</v>
      </c>
      <c r="I38" s="2" t="s">
        <v>2020</v>
      </c>
      <c r="J38" s="2" t="str">
        <f t="shared" si="0"/>
        <v>Nutritional deficiencies; Neonatal sepsis and other neonatal infections: 0.000130993446806729</v>
      </c>
      <c r="K38" s="1" t="s">
        <v>2185</v>
      </c>
      <c r="L38" s="2">
        <v>1206</v>
      </c>
      <c r="M38" s="204">
        <f>'collected data-merged'!R30/'collected data-merged'!Q30</f>
        <v>1.6</v>
      </c>
      <c r="N38" s="205">
        <f t="shared" si="1"/>
        <v>61.726625526913821</v>
      </c>
      <c r="O38" s="205">
        <f>'DCP3 causes and BoD CIV'!E30</f>
        <v>753950.69944818353</v>
      </c>
      <c r="P38" s="212">
        <f>N38/'DCP3 causes and BoD CIV'!E30</f>
        <v>8.1870904254205924E-5</v>
      </c>
      <c r="Q38" s="213">
        <f t="shared" si="2"/>
        <v>1.3099344680672948E-4</v>
      </c>
      <c r="R38" s="2">
        <f>'collected data-merged'!N30</f>
        <v>104.91587542598289</v>
      </c>
      <c r="S38" s="2">
        <f t="shared" si="3"/>
        <v>0.19075613713815071</v>
      </c>
      <c r="T38" s="206">
        <f>'collected data-merged'!T30</f>
        <v>58490386.731431343</v>
      </c>
      <c r="U38" s="219">
        <f t="shared" si="4"/>
        <v>106346.15769351153</v>
      </c>
      <c r="V38" s="2">
        <v>1</v>
      </c>
      <c r="W38" s="2">
        <v>1</v>
      </c>
    </row>
    <row r="39" spans="1:23" hidden="1">
      <c r="B39" s="1" t="s">
        <v>2275</v>
      </c>
      <c r="C39" s="1">
        <v>1</v>
      </c>
      <c r="D39" s="1" t="str">
        <f>'collected data-merged'!D31</f>
        <v>C41</v>
      </c>
      <c r="E39" s="1" t="s">
        <v>725</v>
      </c>
      <c r="F39" s="205" t="str">
        <f>'DCP3 causes and BoD CIV'!B31</f>
        <v>C41</v>
      </c>
      <c r="G39" s="2" t="s">
        <v>380</v>
      </c>
      <c r="H39" s="2" t="s">
        <v>17</v>
      </c>
      <c r="I39" s="2" t="s">
        <v>330</v>
      </c>
      <c r="J39" s="2" t="str">
        <f t="shared" si="0"/>
        <v>Malaria: 0</v>
      </c>
      <c r="K39" s="1" t="s">
        <v>2134</v>
      </c>
      <c r="L39" s="2">
        <v>6</v>
      </c>
      <c r="M39" s="204">
        <f>'collected data-merged'!R31/'collected data-merged'!Q31</f>
        <v>0</v>
      </c>
      <c r="N39" s="205">
        <f t="shared" si="1"/>
        <v>0</v>
      </c>
      <c r="O39" s="205">
        <f>'DCP3 causes and BoD CIV'!E31</f>
        <v>1112317.6610511751</v>
      </c>
      <c r="P39" s="212">
        <f>N39/'DCP3 causes and BoD CIV'!E31</f>
        <v>0</v>
      </c>
      <c r="Q39" s="213">
        <f t="shared" si="2"/>
        <v>0</v>
      </c>
      <c r="R39" s="2">
        <f>'collected data-merged'!N31</f>
        <v>715.2016966135011</v>
      </c>
      <c r="S39" s="2">
        <f t="shared" si="3"/>
        <v>1.3003667211154566</v>
      </c>
      <c r="T39" s="206">
        <f>'collected data-merged'!T31</f>
        <v>0</v>
      </c>
      <c r="U39" s="219">
        <f t="shared" si="4"/>
        <v>0</v>
      </c>
      <c r="V39" s="2">
        <v>1</v>
      </c>
      <c r="W39" s="2">
        <v>1</v>
      </c>
    </row>
    <row r="40" spans="1:23" ht="28.8" hidden="1">
      <c r="B40" s="1" t="s">
        <v>2275</v>
      </c>
      <c r="C40" s="1">
        <v>1</v>
      </c>
      <c r="D40" s="1" t="str">
        <f>'collected data-merged'!D32</f>
        <v>C43</v>
      </c>
      <c r="E40" s="1" t="s">
        <v>727</v>
      </c>
      <c r="F40" s="205" t="str">
        <f>'DCP3 causes and BoD CIV'!B32</f>
        <v>C43</v>
      </c>
      <c r="G40" s="2" t="s">
        <v>338</v>
      </c>
      <c r="H40" s="2" t="s">
        <v>17</v>
      </c>
      <c r="I40" s="2" t="s">
        <v>2021</v>
      </c>
      <c r="J40" s="2" t="str">
        <f t="shared" si="0"/>
        <v>Chagas disease; African trypanosomiasis; Leprosy; Leishmaniasis: 4.99616484682661</v>
      </c>
      <c r="K40" s="1" t="s">
        <v>2125</v>
      </c>
      <c r="L40" s="2">
        <v>63</v>
      </c>
      <c r="M40" s="204">
        <f>'collected data-merged'!R32/'collected data-merged'!Q32</f>
        <v>4</v>
      </c>
      <c r="N40" s="205">
        <f t="shared" si="1"/>
        <v>563.69334961999004</v>
      </c>
      <c r="O40" s="205">
        <f>'DCP3 causes and BoD CIV'!E32</f>
        <v>451.30084126669931</v>
      </c>
      <c r="P40" s="212">
        <f>N40/'DCP3 causes and BoD CIV'!E32</f>
        <v>1.2490412117066532</v>
      </c>
      <c r="Q40" s="213">
        <f t="shared" si="2"/>
        <v>4.9961648468266127</v>
      </c>
      <c r="R40" s="2">
        <f>'collected data-merged'!N32</f>
        <v>151521.58343156538</v>
      </c>
      <c r="S40" s="2">
        <f t="shared" si="3"/>
        <v>275.49378805739161</v>
      </c>
      <c r="T40" s="206">
        <f>'collected data-merged'!T32</f>
        <v>27902820.806189511</v>
      </c>
      <c r="U40" s="219">
        <f t="shared" si="4"/>
        <v>50732.401465799114</v>
      </c>
      <c r="V40" s="2">
        <v>5</v>
      </c>
      <c r="W40" s="2">
        <v>1</v>
      </c>
    </row>
    <row r="41" spans="1:23" hidden="1">
      <c r="B41" s="1" t="s">
        <v>2275</v>
      </c>
      <c r="C41" s="1">
        <v>0</v>
      </c>
      <c r="D41" s="1" t="str">
        <f>'collected data-merged'!D33</f>
        <v>C44</v>
      </c>
      <c r="E41" s="1" t="s">
        <v>728</v>
      </c>
      <c r="F41" s="205" t="str">
        <f>'DCP3 causes and BoD CIV'!B33</f>
        <v>C44</v>
      </c>
      <c r="G41" s="2" t="s">
        <v>407</v>
      </c>
      <c r="H41" s="2" t="s">
        <v>17</v>
      </c>
      <c r="I41" s="2" t="s">
        <v>1609</v>
      </c>
      <c r="J41" s="1" t="e">
        <f t="shared" si="0"/>
        <v>#DIV/0!</v>
      </c>
      <c r="K41" s="1" t="e">
        <v>#DIV/0!</v>
      </c>
      <c r="L41" s="2">
        <v>324</v>
      </c>
      <c r="M41" s="204">
        <f>'collected data-merged'!R33/'collected data-merged'!Q33</f>
        <v>1.6</v>
      </c>
      <c r="N41" s="205">
        <f t="shared" si="1"/>
        <v>14.904860149839223</v>
      </c>
      <c r="O41" s="205">
        <f>'DCP3 causes and BoD CIV'!E33</f>
        <v>0</v>
      </c>
      <c r="P41" s="212" t="e">
        <f>N41/'DCP3 causes and BoD CIV'!E33</f>
        <v>#DIV/0!</v>
      </c>
      <c r="Q41" s="213" t="e">
        <f t="shared" si="2"/>
        <v>#DIV/0!</v>
      </c>
      <c r="R41" s="2">
        <f>'collected data-merged'!N33</f>
        <v>2494.9970153565055</v>
      </c>
      <c r="S41" s="2">
        <f t="shared" si="3"/>
        <v>4.5363582097391006</v>
      </c>
      <c r="T41" s="206">
        <f>'collected data-merged'!T33</f>
        <v>3794351.541001928</v>
      </c>
      <c r="U41" s="219">
        <f t="shared" si="4"/>
        <v>6898.8209836398692</v>
      </c>
      <c r="V41" s="2">
        <v>2</v>
      </c>
      <c r="W41" s="2">
        <v>1</v>
      </c>
    </row>
    <row r="42" spans="1:23" hidden="1">
      <c r="A42" s="1" t="s">
        <v>2283</v>
      </c>
      <c r="B42" s="1" t="s">
        <v>2275</v>
      </c>
      <c r="C42" s="1">
        <v>0</v>
      </c>
      <c r="D42" s="1" t="str">
        <f>'collected data-merged'!D34</f>
        <v>C47</v>
      </c>
      <c r="E42" s="1" t="s">
        <v>736</v>
      </c>
      <c r="F42" s="205" t="str">
        <f>'DCP3 causes and BoD CIV'!B34</f>
        <v>C47</v>
      </c>
      <c r="G42" s="2" t="s">
        <v>348</v>
      </c>
      <c r="H42" s="2" t="s">
        <v>17</v>
      </c>
      <c r="I42" s="2" t="s">
        <v>350</v>
      </c>
      <c r="J42" s="1" t="e">
        <f t="shared" ref="J42:J73" si="5">CONCATENATE(I42, ":", " ", Q42)</f>
        <v>#REF!</v>
      </c>
      <c r="K42" s="1" t="e">
        <v>#REF!</v>
      </c>
      <c r="L42" s="6">
        <v>402.5</v>
      </c>
      <c r="M42" s="204">
        <f>'collected data-merged'!R34/'collected data-merged'!Q34</f>
        <v>1.5000000000000002</v>
      </c>
      <c r="N42" s="205" t="e">
        <f t="shared" ref="N42:N73" si="6">((T42/L42)/FCFA_US__exchange)*Quality_reduction</f>
        <v>#REF!</v>
      </c>
      <c r="O42" s="205">
        <f>'DCP3 causes and BoD CIV'!E34</f>
        <v>198516.93115000171</v>
      </c>
      <c r="P42" s="212" t="e">
        <f>N42/'DCP3 causes and BoD CIV'!E34</f>
        <v>#REF!</v>
      </c>
      <c r="Q42" s="213" t="e">
        <f t="shared" si="2"/>
        <v>#REF!</v>
      </c>
      <c r="R42" s="2">
        <f>'collected data-merged'!N34</f>
        <v>4638.5098968183147</v>
      </c>
      <c r="S42" s="2">
        <f t="shared" si="3"/>
        <v>8.4336543578514807</v>
      </c>
      <c r="T42" s="206" t="e">
        <f>'collected data-merged'!T34</f>
        <v>#REF!</v>
      </c>
      <c r="U42" s="219" t="e">
        <f t="shared" si="4"/>
        <v>#REF!</v>
      </c>
      <c r="V42" s="2">
        <v>1</v>
      </c>
      <c r="W42" s="2">
        <v>1</v>
      </c>
    </row>
    <row r="43" spans="1:23" hidden="1">
      <c r="A43" s="1" t="s">
        <v>2283</v>
      </c>
      <c r="B43" s="1" t="s">
        <v>2275</v>
      </c>
      <c r="C43" s="1">
        <v>1</v>
      </c>
      <c r="D43" s="1" t="str">
        <f>'collected data-merged'!D35</f>
        <v>C48</v>
      </c>
      <c r="E43" s="1" t="s">
        <v>761</v>
      </c>
      <c r="F43" s="205" t="str">
        <f>'DCP3 causes and BoD CIV'!B35</f>
        <v>C48</v>
      </c>
      <c r="G43" s="2" t="s">
        <v>403</v>
      </c>
      <c r="H43" s="2" t="s">
        <v>17</v>
      </c>
      <c r="I43" s="2" t="s">
        <v>404</v>
      </c>
      <c r="J43" s="2" t="str">
        <f t="shared" si="5"/>
        <v>Migraine: 0</v>
      </c>
      <c r="K43" s="1" t="s">
        <v>2143</v>
      </c>
      <c r="L43" s="6">
        <v>402.5</v>
      </c>
      <c r="M43" s="204">
        <f>'collected data-merged'!R35/'collected data-merged'!Q35</f>
        <v>1.5000000000000002</v>
      </c>
      <c r="N43" s="205">
        <f t="shared" si="6"/>
        <v>0</v>
      </c>
      <c r="O43" s="205">
        <f>'DCP3 causes and BoD CIV'!E35</f>
        <v>157362.34925250319</v>
      </c>
      <c r="P43" s="212">
        <f>N43/'DCP3 causes and BoD CIV'!E35</f>
        <v>0</v>
      </c>
      <c r="Q43" s="213">
        <f t="shared" si="2"/>
        <v>0</v>
      </c>
      <c r="R43" s="2">
        <f>'collected data-merged'!N35</f>
        <v>123.6231077147016</v>
      </c>
      <c r="S43" s="2">
        <f t="shared" si="3"/>
        <v>0.22476928675400293</v>
      </c>
      <c r="T43" s="206">
        <f>'collected data-merged'!T35</f>
        <v>0</v>
      </c>
      <c r="U43" s="219">
        <f t="shared" si="4"/>
        <v>0</v>
      </c>
      <c r="V43" s="2">
        <v>0</v>
      </c>
      <c r="W43" s="2">
        <v>1</v>
      </c>
    </row>
    <row r="44" spans="1:23" hidden="1">
      <c r="B44" s="1" t="s">
        <v>2275</v>
      </c>
      <c r="C44" s="1">
        <v>1</v>
      </c>
      <c r="D44" s="1" t="str">
        <f>'collected data-merged'!D36</f>
        <v>C5</v>
      </c>
      <c r="E44" s="1" t="s">
        <v>645</v>
      </c>
      <c r="F44" s="205" t="str">
        <f>'DCP3 causes and BoD CIV'!B36</f>
        <v>C5</v>
      </c>
      <c r="G44" s="2" t="s">
        <v>268</v>
      </c>
      <c r="H44" s="2" t="s">
        <v>17</v>
      </c>
      <c r="I44" s="2" t="s">
        <v>406</v>
      </c>
      <c r="J44" s="2" t="str">
        <f t="shared" si="5"/>
        <v>Tetanus: 0.0370701414075617</v>
      </c>
      <c r="K44" s="1" t="str">
        <f>J44</f>
        <v>Tetanus: 0.0370701414075617</v>
      </c>
      <c r="L44" s="2">
        <v>1830</v>
      </c>
      <c r="M44" s="204">
        <f>'collected data-merged'!R36/'collected data-merged'!Q36</f>
        <v>1.5094339622641511</v>
      </c>
      <c r="N44" s="205">
        <f t="shared" si="6"/>
        <v>254.04056587398429</v>
      </c>
      <c r="O44" s="205">
        <f>'DCP3 causes and BoD CIV'!E36</f>
        <v>10344.105616084211</v>
      </c>
      <c r="P44" s="212">
        <f>N44/'DCP3 causes and BoD CIV'!E36</f>
        <v>2.4558968682509646E-2</v>
      </c>
      <c r="Q44" s="213">
        <f t="shared" si="2"/>
        <v>3.7070141407561735E-2</v>
      </c>
      <c r="R44" s="2">
        <f>'collected data-merged'!N36</f>
        <v>618.11553857350793</v>
      </c>
      <c r="S44" s="2">
        <f t="shared" si="3"/>
        <v>1.1238464337700145</v>
      </c>
      <c r="T44" s="206">
        <f>'collected data-merged'!T36</f>
        <v>365274042.21737891</v>
      </c>
      <c r="U44" s="219">
        <f t="shared" si="4"/>
        <v>664134.62221341615</v>
      </c>
      <c r="V44" s="2">
        <v>1</v>
      </c>
      <c r="W44" s="2">
        <v>3</v>
      </c>
    </row>
    <row r="45" spans="1:23" hidden="1">
      <c r="B45" s="1" t="s">
        <v>2275</v>
      </c>
      <c r="C45" s="1">
        <v>0</v>
      </c>
      <c r="D45" s="1" t="str">
        <f>'collected data-merged'!D37</f>
        <v>C50</v>
      </c>
      <c r="E45" s="1" t="s">
        <v>781</v>
      </c>
      <c r="F45" s="205" t="str">
        <f>'DCP3 causes and BoD CIV'!B37</f>
        <v>C50</v>
      </c>
      <c r="G45" s="2" t="s">
        <v>384</v>
      </c>
      <c r="H45" s="2" t="s">
        <v>17</v>
      </c>
      <c r="I45" s="2" t="s">
        <v>343</v>
      </c>
      <c r="J45" s="1" t="e">
        <f t="shared" si="5"/>
        <v>#DIV/0!</v>
      </c>
      <c r="K45" s="1" t="e">
        <v>#DIV/0!</v>
      </c>
      <c r="L45" s="2"/>
      <c r="M45" s="204">
        <f>'collected data-merged'!R37/'collected data-merged'!Q37</f>
        <v>1.5000000000000002</v>
      </c>
      <c r="N45" s="205" t="e">
        <f t="shared" si="6"/>
        <v>#DIV/0!</v>
      </c>
      <c r="O45" s="205">
        <f>'DCP3 causes and BoD CIV'!E37</f>
        <v>139465.81411610241</v>
      </c>
      <c r="P45" s="212" t="e">
        <f>N45/'DCP3 causes and BoD CIV'!E37</f>
        <v>#DIV/0!</v>
      </c>
      <c r="Q45" s="213" t="e">
        <f t="shared" si="2"/>
        <v>#DIV/0!</v>
      </c>
      <c r="R45" s="2">
        <f>'collected data-merged'!N37</f>
        <v>2668.4120460919921</v>
      </c>
      <c r="S45" s="2">
        <f t="shared" si="3"/>
        <v>4.8516582656218041</v>
      </c>
      <c r="T45" s="206">
        <f>'collected data-merged'!T37</f>
        <v>0</v>
      </c>
      <c r="U45" s="219">
        <f t="shared" si="4"/>
        <v>0</v>
      </c>
      <c r="V45" s="2">
        <v>2</v>
      </c>
      <c r="W45" s="2">
        <v>1</v>
      </c>
    </row>
    <row r="46" spans="1:23" hidden="1">
      <c r="A46" s="1" t="s">
        <v>2283</v>
      </c>
      <c r="B46" s="1" t="s">
        <v>2275</v>
      </c>
      <c r="C46" s="1">
        <v>1</v>
      </c>
      <c r="D46" s="1" t="str">
        <f>'collected data-merged'!D38</f>
        <v>C51</v>
      </c>
      <c r="E46" s="1" t="s">
        <v>834</v>
      </c>
      <c r="F46" s="205" t="str">
        <f>'DCP3 causes and BoD CIV'!B38</f>
        <v>C51</v>
      </c>
      <c r="G46" s="2" t="s">
        <v>290</v>
      </c>
      <c r="H46" s="2" t="s">
        <v>17</v>
      </c>
      <c r="I46" s="2" t="s">
        <v>2022</v>
      </c>
      <c r="J46" s="2" t="str">
        <f t="shared" si="5"/>
        <v>Enteric infections: 0</v>
      </c>
      <c r="K46" s="1" t="s">
        <v>2145</v>
      </c>
      <c r="L46" s="6">
        <v>402.5</v>
      </c>
      <c r="M46" s="204">
        <f>'collected data-merged'!R38/'collected data-merged'!Q38</f>
        <v>1.6</v>
      </c>
      <c r="N46" s="205">
        <f t="shared" si="6"/>
        <v>0</v>
      </c>
      <c r="O46" s="205">
        <f>'DCP3 causes and BoD CIV'!E38</f>
        <v>1050364.072724961</v>
      </c>
      <c r="P46" s="212">
        <f>N46/'DCP3 causes and BoD CIV'!E38</f>
        <v>0</v>
      </c>
      <c r="Q46" s="213">
        <f t="shared" si="2"/>
        <v>0</v>
      </c>
      <c r="R46" s="2">
        <f>'collected data-merged'!N38</f>
        <v>370.36034292880379</v>
      </c>
      <c r="S46" s="2">
        <f t="shared" si="3"/>
        <v>0.67338244168873418</v>
      </c>
      <c r="T46" s="206">
        <f>'collected data-merged'!T38</f>
        <v>0</v>
      </c>
      <c r="U46" s="219">
        <f t="shared" si="4"/>
        <v>0</v>
      </c>
      <c r="V46" s="2">
        <v>2</v>
      </c>
      <c r="W46" s="2">
        <v>1</v>
      </c>
    </row>
    <row r="47" spans="1:23" ht="100.8" hidden="1">
      <c r="A47" s="1" t="s">
        <v>2284</v>
      </c>
      <c r="B47" s="1" t="s">
        <v>2275</v>
      </c>
      <c r="C47" s="1">
        <v>1</v>
      </c>
      <c r="D47" s="1" t="str">
        <f>'collected data-merged'!D39</f>
        <v>C52</v>
      </c>
      <c r="E47" s="1" t="s">
        <v>782</v>
      </c>
      <c r="F47" s="205" t="str">
        <f>'DCP3 causes and BoD CIV'!B39</f>
        <v>C52</v>
      </c>
      <c r="G47" s="2" t="s">
        <v>323</v>
      </c>
      <c r="H47" s="2" t="s">
        <v>10</v>
      </c>
      <c r="I47" s="2" t="s">
        <v>2023</v>
      </c>
      <c r="J47" s="2" t="str">
        <f t="shared" si="5"/>
        <v>Chronic respiratory diseases; Rheumatic heart disease; Ischemic heart disease; Hypertensive heart disease; Non-rheumatic valvular heart disease; Cardiomyopathy and myocarditis; Atrial fibrillation and flutter; Aortic aneurysm; Peripheral artery disease; Endocarditis; Other cardiovascular and circulatory diseases: 0</v>
      </c>
      <c r="K47" s="1" t="s">
        <v>2186</v>
      </c>
      <c r="L47" s="2">
        <v>19560</v>
      </c>
      <c r="M47" s="204">
        <f>'collected data-merged'!R39/'collected data-merged'!Q39</f>
        <v>2</v>
      </c>
      <c r="N47" s="205">
        <f t="shared" si="6"/>
        <v>0</v>
      </c>
      <c r="O47" s="205">
        <f>'DCP3 causes and BoD CIV'!E39</f>
        <v>107648.34148050314</v>
      </c>
      <c r="P47" s="212">
        <f>N47/'DCP3 causes and BoD CIV'!E39</f>
        <v>0</v>
      </c>
      <c r="Q47" s="213">
        <f t="shared" si="2"/>
        <v>0</v>
      </c>
      <c r="R47" s="2">
        <f>'collected data-merged'!N39</f>
        <v>4638.5098968183147</v>
      </c>
      <c r="S47" s="2">
        <f t="shared" si="3"/>
        <v>8.4336543578514807</v>
      </c>
      <c r="T47" s="206">
        <f>'collected data-merged'!T39</f>
        <v>0</v>
      </c>
      <c r="U47" s="219">
        <f t="shared" si="4"/>
        <v>0</v>
      </c>
      <c r="V47" s="2">
        <v>1</v>
      </c>
      <c r="W47" s="2">
        <v>1</v>
      </c>
    </row>
    <row r="48" spans="1:23" ht="43.2" hidden="1">
      <c r="B48" s="1" t="s">
        <v>2275</v>
      </c>
      <c r="C48" s="1">
        <v>0</v>
      </c>
      <c r="D48" s="1" t="str">
        <f>'collected data-merged'!D40</f>
        <v>C53</v>
      </c>
      <c r="E48" s="1" t="s">
        <v>783</v>
      </c>
      <c r="F48" s="205" t="str">
        <f>'DCP3 causes and BoD CIV'!B40</f>
        <v>C53</v>
      </c>
      <c r="G48" s="2" t="s">
        <v>336</v>
      </c>
      <c r="H48" s="2" t="s">
        <v>17</v>
      </c>
      <c r="I48" s="2" t="s">
        <v>2024</v>
      </c>
      <c r="J48" s="1" t="e">
        <f t="shared" si="5"/>
        <v>#DIV/0!</v>
      </c>
      <c r="K48" s="1" t="e">
        <v>#DIV/0!</v>
      </c>
      <c r="L48" s="2"/>
      <c r="M48" s="204">
        <f>'collected data-merged'!R40/'collected data-merged'!Q40</f>
        <v>2</v>
      </c>
      <c r="N48" s="205" t="e">
        <f t="shared" si="6"/>
        <v>#DIV/0!</v>
      </c>
      <c r="O48" s="205">
        <f>'DCP3 causes and BoD CIV'!E40</f>
        <v>0</v>
      </c>
      <c r="P48" s="212" t="e">
        <f>N48/'DCP3 causes and BoD CIV'!E40</f>
        <v>#DIV/0!</v>
      </c>
      <c r="Q48" s="213" t="e">
        <f t="shared" si="2"/>
        <v>#DIV/0!</v>
      </c>
      <c r="R48" s="2">
        <f>'collected data-merged'!N40</f>
        <v>4638.5098968183147</v>
      </c>
      <c r="S48" s="2">
        <f t="shared" si="3"/>
        <v>8.4336543578514807</v>
      </c>
      <c r="T48" s="206">
        <f>'collected data-merged'!T40</f>
        <v>0</v>
      </c>
      <c r="U48" s="219">
        <f t="shared" si="4"/>
        <v>0</v>
      </c>
      <c r="V48" s="2">
        <v>1</v>
      </c>
      <c r="W48" s="2">
        <v>1</v>
      </c>
    </row>
    <row r="49" spans="1:23" ht="43.2" hidden="1">
      <c r="B49" s="1" t="s">
        <v>2275</v>
      </c>
      <c r="C49" s="1">
        <v>1</v>
      </c>
      <c r="D49" s="1" t="str">
        <f>'collected data-merged'!D41</f>
        <v>C54</v>
      </c>
      <c r="E49" s="1" t="s">
        <v>784</v>
      </c>
      <c r="F49" s="205" t="str">
        <f>'DCP3 causes and BoD CIV'!B41</f>
        <v>C54</v>
      </c>
      <c r="G49" s="2" t="s">
        <v>241</v>
      </c>
      <c r="H49" s="2" t="s">
        <v>17</v>
      </c>
      <c r="I49" s="2" t="s">
        <v>2025</v>
      </c>
      <c r="J49" s="2" t="str">
        <f t="shared" si="5"/>
        <v>Injuries; Stroke; Musculoskeletal disorders; Parkinson's disease; Multiple sclerosis; Motor neuron disease: 0</v>
      </c>
      <c r="K49" s="1" t="s">
        <v>2187</v>
      </c>
      <c r="L49" s="2">
        <v>1</v>
      </c>
      <c r="M49" s="204">
        <f>'collected data-merged'!R41/'collected data-merged'!Q41</f>
        <v>1.5000000000000002</v>
      </c>
      <c r="N49" s="205">
        <f t="shared" si="6"/>
        <v>0</v>
      </c>
      <c r="O49" s="205">
        <f>'DCP3 causes and BoD CIV'!E41</f>
        <v>533972.72951705812</v>
      </c>
      <c r="P49" s="212">
        <f>N49/'DCP3 causes and BoD CIV'!E41</f>
        <v>0</v>
      </c>
      <c r="Q49" s="213">
        <f t="shared" si="2"/>
        <v>0</v>
      </c>
      <c r="R49" s="2">
        <f>'collected data-merged'!N41</f>
        <v>4638.5098968183147</v>
      </c>
      <c r="S49" s="2">
        <f t="shared" si="3"/>
        <v>8.4336543578514807</v>
      </c>
      <c r="T49" s="206">
        <f>'collected data-merged'!T41</f>
        <v>0</v>
      </c>
      <c r="U49" s="219">
        <f t="shared" si="4"/>
        <v>0</v>
      </c>
      <c r="V49" s="2">
        <v>1</v>
      </c>
      <c r="W49" s="2">
        <v>1</v>
      </c>
    </row>
    <row r="50" spans="1:23" ht="28.8" hidden="1">
      <c r="A50" s="1" t="s">
        <v>2283</v>
      </c>
      <c r="B50" s="1" t="s">
        <v>2275</v>
      </c>
      <c r="C50" s="1">
        <v>1</v>
      </c>
      <c r="D50" s="1" t="str">
        <f>'collected data-merged'!D42</f>
        <v>C58</v>
      </c>
      <c r="E50" s="1" t="s">
        <v>788</v>
      </c>
      <c r="F50" s="205" t="str">
        <f>'DCP3 causes and BoD CIV'!B42</f>
        <v>C58</v>
      </c>
      <c r="G50" s="2" t="s">
        <v>409</v>
      </c>
      <c r="H50" s="2" t="s">
        <v>17</v>
      </c>
      <c r="I50" s="2" t="s">
        <v>2026</v>
      </c>
      <c r="J50" s="2" t="str">
        <f t="shared" si="5"/>
        <v>Stroke; Parkinson's disease; Multiple sclerosis; Motor neuron disease: 0</v>
      </c>
      <c r="K50" s="1" t="s">
        <v>2188</v>
      </c>
      <c r="L50" s="6">
        <v>402.5</v>
      </c>
      <c r="M50" s="204">
        <f>'collected data-merged'!R42/'collected data-merged'!Q42</f>
        <v>1.5000000000000002</v>
      </c>
      <c r="N50" s="205">
        <f t="shared" si="6"/>
        <v>0</v>
      </c>
      <c r="O50" s="205">
        <f>'DCP3 causes and BoD CIV'!E42</f>
        <v>263493.06987643754</v>
      </c>
      <c r="P50" s="212">
        <f>N50/'DCP3 causes and BoD CIV'!E42</f>
        <v>0</v>
      </c>
      <c r="Q50" s="213">
        <f t="shared" si="2"/>
        <v>0</v>
      </c>
      <c r="R50" s="2">
        <f>'collected data-merged'!N42</f>
        <v>4638.5098968183147</v>
      </c>
      <c r="S50" s="2">
        <f t="shared" si="3"/>
        <v>8.4336543578514807</v>
      </c>
      <c r="T50" s="206">
        <f>'collected data-merged'!T42</f>
        <v>0</v>
      </c>
      <c r="U50" s="219">
        <f t="shared" si="4"/>
        <v>0</v>
      </c>
      <c r="V50" s="2">
        <v>1</v>
      </c>
      <c r="W50" s="2">
        <v>1</v>
      </c>
    </row>
    <row r="51" spans="1:23" ht="28.8" hidden="1">
      <c r="B51" s="1" t="s">
        <v>2275</v>
      </c>
      <c r="C51" s="1">
        <v>1</v>
      </c>
      <c r="D51" s="1" t="str">
        <f>'collected data-merged'!D43</f>
        <v>C59</v>
      </c>
      <c r="E51" s="1" t="s">
        <v>789</v>
      </c>
      <c r="F51" s="205" t="str">
        <f>'DCP3 causes and BoD CIV'!B43</f>
        <v>C59</v>
      </c>
      <c r="G51" s="2" t="s">
        <v>411</v>
      </c>
      <c r="H51" s="2" t="s">
        <v>17</v>
      </c>
      <c r="I51" s="2" t="s">
        <v>2027</v>
      </c>
      <c r="J51" s="2" t="str">
        <f t="shared" si="5"/>
        <v>Injuries; Musculoskeletal disorders: 0</v>
      </c>
      <c r="K51" s="1" t="s">
        <v>2189</v>
      </c>
      <c r="L51" s="2">
        <v>1</v>
      </c>
      <c r="M51" s="204">
        <f>'collected data-merged'!R43/'collected data-merged'!Q43</f>
        <v>1.5000000000000002</v>
      </c>
      <c r="N51" s="205">
        <f t="shared" si="6"/>
        <v>0</v>
      </c>
      <c r="O51" s="205">
        <f>'DCP3 causes and BoD CIV'!E43</f>
        <v>262448.99049626233</v>
      </c>
      <c r="P51" s="212">
        <f>N51/'DCP3 causes and BoD CIV'!E43</f>
        <v>0</v>
      </c>
      <c r="Q51" s="213">
        <f t="shared" si="2"/>
        <v>0</v>
      </c>
      <c r="R51" s="2">
        <f>'collected data-merged'!N43</f>
        <v>4638.5098968183147</v>
      </c>
      <c r="S51" s="2">
        <f t="shared" si="3"/>
        <v>8.4336543578514807</v>
      </c>
      <c r="T51" s="206">
        <f>'collected data-merged'!T43</f>
        <v>0</v>
      </c>
      <c r="U51" s="219">
        <f t="shared" si="4"/>
        <v>0</v>
      </c>
      <c r="V51" s="2">
        <v>1</v>
      </c>
      <c r="W51" s="2">
        <v>1</v>
      </c>
    </row>
    <row r="52" spans="1:23" hidden="1">
      <c r="A52" s="1" t="s">
        <v>2287</v>
      </c>
      <c r="B52" s="1" t="s">
        <v>2275</v>
      </c>
      <c r="C52" s="1">
        <v>1</v>
      </c>
      <c r="D52" s="1" t="str">
        <f>'collected data-merged'!D44</f>
        <v>C6</v>
      </c>
      <c r="E52" s="1" t="s">
        <v>643</v>
      </c>
      <c r="F52" s="205" t="str">
        <f>'DCP3 causes and BoD CIV'!B44</f>
        <v>C6</v>
      </c>
      <c r="G52" s="2" t="s">
        <v>354</v>
      </c>
      <c r="H52" s="2" t="s">
        <v>17</v>
      </c>
      <c r="I52" s="2" t="s">
        <v>310</v>
      </c>
      <c r="J52" s="2" t="str">
        <f t="shared" si="5"/>
        <v>HIV/AIDS: 0</v>
      </c>
      <c r="K52" s="1" t="s">
        <v>2139</v>
      </c>
      <c r="L52" s="2">
        <v>1186</v>
      </c>
      <c r="M52" s="204">
        <f>'collected data-merged'!R44/'collected data-merged'!Q44</f>
        <v>1.1111111111111112</v>
      </c>
      <c r="N52" s="205">
        <f t="shared" si="6"/>
        <v>0</v>
      </c>
      <c r="O52" s="205">
        <f>'DCP3 causes and BoD CIV'!E44</f>
        <v>20765.6346306384</v>
      </c>
      <c r="P52" s="212">
        <f>N52/'DCP3 causes and BoD CIV'!E44</f>
        <v>0</v>
      </c>
      <c r="Q52" s="213">
        <f t="shared" si="2"/>
        <v>0</v>
      </c>
      <c r="R52" s="2">
        <f>'collected data-merged'!N44</f>
        <v>219.45706052407431</v>
      </c>
      <c r="S52" s="2">
        <f t="shared" si="3"/>
        <v>0.39901283731649873</v>
      </c>
      <c r="T52" s="206">
        <f>'collected data-merged'!T44</f>
        <v>0</v>
      </c>
      <c r="U52" s="219">
        <f t="shared" si="4"/>
        <v>0</v>
      </c>
      <c r="V52" s="2">
        <v>2</v>
      </c>
      <c r="W52" s="2">
        <v>1</v>
      </c>
    </row>
    <row r="53" spans="1:23" hidden="1">
      <c r="B53" s="1" t="s">
        <v>2275</v>
      </c>
      <c r="C53" s="1">
        <v>1</v>
      </c>
      <c r="D53" s="1" t="str">
        <f>'collected data-merged'!D45</f>
        <v>C7</v>
      </c>
      <c r="E53" s="1" t="s">
        <v>640</v>
      </c>
      <c r="F53" s="205" t="str">
        <f>'DCP3 causes and BoD CIV'!B45</f>
        <v>C7</v>
      </c>
      <c r="G53" s="2" t="s">
        <v>140</v>
      </c>
      <c r="H53" s="2" t="s">
        <v>17</v>
      </c>
      <c r="I53" s="2" t="s">
        <v>330</v>
      </c>
      <c r="J53" s="2" t="str">
        <f t="shared" si="5"/>
        <v>Malaria: 0.0032984402592675</v>
      </c>
      <c r="K53" s="1" t="s">
        <v>2146</v>
      </c>
      <c r="L53" s="2">
        <v>49</v>
      </c>
      <c r="M53" s="204">
        <f>'collected data-merged'!R45/'collected data-merged'!Q45</f>
        <v>1.2307692307692308</v>
      </c>
      <c r="N53" s="205">
        <f t="shared" si="6"/>
        <v>2980.992100373182</v>
      </c>
      <c r="O53" s="205">
        <f>'DCP3 causes and BoD CIV'!E45</f>
        <v>1112317.6610511751</v>
      </c>
      <c r="P53" s="214">
        <f>N53/'DCP3 causes and BoD CIV'!E45</f>
        <v>2.6799827106548419E-3</v>
      </c>
      <c r="Q53" s="213">
        <f t="shared" si="2"/>
        <v>3.2984402592674978E-3</v>
      </c>
      <c r="R53" s="2">
        <f>'collected data-merged'!N45</f>
        <v>168.17422500000001</v>
      </c>
      <c r="S53" s="2">
        <f t="shared" si="3"/>
        <v>0.30577131818181819</v>
      </c>
      <c r="T53" s="206">
        <f>'collected data-merged'!T45</f>
        <v>114768195.86436751</v>
      </c>
      <c r="U53" s="219">
        <f t="shared" si="4"/>
        <v>208669.44702612274</v>
      </c>
      <c r="V53" s="2">
        <v>1</v>
      </c>
      <c r="W53" s="2">
        <v>1</v>
      </c>
    </row>
    <row r="54" spans="1:23" hidden="1">
      <c r="A54" s="1" t="s">
        <v>2287</v>
      </c>
      <c r="B54" s="1" t="s">
        <v>2275</v>
      </c>
      <c r="C54" s="1">
        <v>1</v>
      </c>
      <c r="D54" s="1" t="str">
        <f>'collected data-merged'!D46</f>
        <v>C8</v>
      </c>
      <c r="E54" s="1" t="s">
        <v>665</v>
      </c>
      <c r="F54" s="205" t="str">
        <f>'DCP3 causes and BoD CIV'!B46</f>
        <v>C8</v>
      </c>
      <c r="G54" s="2" t="s">
        <v>16</v>
      </c>
      <c r="H54" s="2" t="s">
        <v>17</v>
      </c>
      <c r="I54" s="2" t="s">
        <v>1614</v>
      </c>
      <c r="J54" s="2" t="str">
        <f t="shared" si="5"/>
        <v>Protein-energy malnutrition: 0.421886482185236</v>
      </c>
      <c r="K54" s="1" t="str">
        <f>J54</f>
        <v>Protein-energy malnutrition: 0.421886482185236</v>
      </c>
      <c r="L54" s="2">
        <v>32</v>
      </c>
      <c r="M54" s="204">
        <f>'collected data-merged'!R46/'collected data-merged'!Q46</f>
        <v>1</v>
      </c>
      <c r="N54" s="205">
        <f t="shared" si="6"/>
        <v>82644.768094956875</v>
      </c>
      <c r="O54" s="205">
        <f>'DCP3 causes and BoD CIV'!E46</f>
        <v>195893.3779221455</v>
      </c>
      <c r="P54" s="212">
        <f>N54/'DCP3 causes and BoD CIV'!E46</f>
        <v>0.42188648218523567</v>
      </c>
      <c r="Q54" s="213">
        <f t="shared" si="2"/>
        <v>0.42188648218523567</v>
      </c>
      <c r="R54" s="2">
        <f>'collected data-merged'!N46</f>
        <v>42086.666541294515</v>
      </c>
      <c r="S54" s="2">
        <f t="shared" si="3"/>
        <v>76.521211893262759</v>
      </c>
      <c r="T54" s="206">
        <f>'collected data-merged'!T46</f>
        <v>2077925597.8160586</v>
      </c>
      <c r="U54" s="219">
        <f t="shared" si="4"/>
        <v>3778046.5414837431</v>
      </c>
      <c r="V54" s="2">
        <v>4</v>
      </c>
      <c r="W54" s="2">
        <v>1</v>
      </c>
    </row>
    <row r="55" spans="1:23" ht="28.8" hidden="1">
      <c r="A55" s="1" t="s">
        <v>2283</v>
      </c>
      <c r="B55" s="1" t="s">
        <v>2275</v>
      </c>
      <c r="C55" s="1">
        <v>1</v>
      </c>
      <c r="D55" s="1" t="str">
        <f>'collected data-merged'!D47</f>
        <v>C9</v>
      </c>
      <c r="E55" s="1" t="s">
        <v>666</v>
      </c>
      <c r="F55" s="205" t="str">
        <f>'DCP3 causes and BoD CIV'!B47</f>
        <v>C9</v>
      </c>
      <c r="G55" s="2" t="s">
        <v>134</v>
      </c>
      <c r="H55" s="2" t="s">
        <v>17</v>
      </c>
      <c r="I55" s="2" t="s">
        <v>2028</v>
      </c>
      <c r="J55" s="2" t="str">
        <f t="shared" si="5"/>
        <v>Malaria; Diarrheal diseases; Lower respiratory infections: 0.00395866908327589</v>
      </c>
      <c r="K55" s="1" t="s">
        <v>2323</v>
      </c>
      <c r="L55" s="6">
        <v>402.5</v>
      </c>
      <c r="M55" s="204">
        <f>'collected data-merged'!R47/'collected data-merged'!Q47</f>
        <v>2.5</v>
      </c>
      <c r="N55" s="205">
        <f t="shared" si="6"/>
        <v>4691.7866042093247</v>
      </c>
      <c r="O55" s="205">
        <f>'DCP3 causes and BoD CIV'!E47</f>
        <v>2962982.3215273418</v>
      </c>
      <c r="P55" s="212">
        <f>N55/'DCP3 causes and BoD CIV'!E47</f>
        <v>1.5834676333103561E-3</v>
      </c>
      <c r="Q55" s="213">
        <f t="shared" si="2"/>
        <v>3.9586690832758903E-3</v>
      </c>
      <c r="R55" s="2">
        <f>'collected data-merged'!N47</f>
        <v>7867.4174985982236</v>
      </c>
      <c r="S55" s="2">
        <f t="shared" si="3"/>
        <v>14.30439545199677</v>
      </c>
      <c r="T55" s="206">
        <f>'collected data-merged'!T47</f>
        <v>1483777513.5811992</v>
      </c>
      <c r="U55" s="219">
        <f t="shared" si="4"/>
        <v>2697777.297420362</v>
      </c>
      <c r="V55" s="2">
        <v>3</v>
      </c>
      <c r="W55" s="2">
        <v>2</v>
      </c>
    </row>
    <row r="56" spans="1:23" ht="28.8" hidden="1">
      <c r="B56" s="1" t="s">
        <v>2275</v>
      </c>
      <c r="C56" s="1">
        <v>1</v>
      </c>
      <c r="D56" s="1" t="str">
        <f>'collected data-merged'!D48</f>
        <v>FLH1</v>
      </c>
      <c r="E56" s="1" t="s">
        <v>624</v>
      </c>
      <c r="F56" s="205" t="str">
        <f>'DCP3 causes and BoD CIV'!B48</f>
        <v>FLH1</v>
      </c>
      <c r="G56" s="2" t="s">
        <v>542</v>
      </c>
      <c r="H56" s="2" t="s">
        <v>10</v>
      </c>
      <c r="I56" s="2" t="s">
        <v>2029</v>
      </c>
      <c r="J56" s="2" t="str">
        <f t="shared" si="5"/>
        <v>Protein-energy malnutrition; Other maternal disorders; Other neonatal disorders: 0</v>
      </c>
      <c r="K56" s="1" t="s">
        <v>2191</v>
      </c>
      <c r="L56" s="6">
        <v>71.430000000000007</v>
      </c>
      <c r="M56" s="204">
        <f>'collected data-merged'!R48/'collected data-merged'!Q48</f>
        <v>1.6</v>
      </c>
      <c r="N56" s="205">
        <f t="shared" si="6"/>
        <v>0</v>
      </c>
      <c r="O56" s="205">
        <f>'DCP3 causes and BoD CIV'!E48</f>
        <v>368478.35055742896</v>
      </c>
      <c r="P56" s="212">
        <f>N56/'DCP3 causes and BoD CIV'!E48</f>
        <v>0</v>
      </c>
      <c r="Q56" s="213">
        <f t="shared" si="2"/>
        <v>0</v>
      </c>
      <c r="R56" s="2">
        <f>'collected data-merged'!N48</f>
        <v>204223.02774742042</v>
      </c>
      <c r="S56" s="2">
        <f t="shared" si="3"/>
        <v>371.31459590440079</v>
      </c>
      <c r="T56" s="206">
        <f>'collected data-merged'!T48</f>
        <v>0</v>
      </c>
      <c r="U56" s="219">
        <f t="shared" si="4"/>
        <v>0</v>
      </c>
      <c r="V56" s="2">
        <v>5</v>
      </c>
      <c r="W56" s="2">
        <v>3</v>
      </c>
    </row>
    <row r="57" spans="1:23" ht="28.8" hidden="1">
      <c r="A57" s="1" t="s">
        <v>2283</v>
      </c>
      <c r="B57" s="1" t="s">
        <v>2275</v>
      </c>
      <c r="C57" s="1">
        <v>1</v>
      </c>
      <c r="D57" s="1" t="str">
        <f>'collected data-merged'!D49</f>
        <v>FLH10</v>
      </c>
      <c r="E57" s="1" t="s">
        <v>646</v>
      </c>
      <c r="F57" s="205" t="str">
        <f>'DCP3 causes and BoD CIV'!B49</f>
        <v>FLH10</v>
      </c>
      <c r="G57" s="2" t="s">
        <v>258</v>
      </c>
      <c r="H57" s="2" t="s">
        <v>10</v>
      </c>
      <c r="I57" s="2" t="s">
        <v>1683</v>
      </c>
      <c r="J57" s="2" t="str">
        <f t="shared" si="5"/>
        <v>Maternal abortion and miscarriage: 4.0981684297033</v>
      </c>
      <c r="K57" s="1" t="s">
        <v>2300</v>
      </c>
      <c r="L57" s="6">
        <v>805</v>
      </c>
      <c r="M57" s="204">
        <f>'collected data-merged'!R49/'collected data-merged'!Q49</f>
        <v>2</v>
      </c>
      <c r="N57" s="205">
        <f t="shared" si="6"/>
        <v>23903.301500755075</v>
      </c>
      <c r="O57" s="205">
        <f>'DCP3 causes and BoD CIV'!E49</f>
        <v>11665.358274445351</v>
      </c>
      <c r="P57" s="212">
        <f>N57/'DCP3 causes and BoD CIV'!E49</f>
        <v>2.0490842148516522</v>
      </c>
      <c r="Q57" s="213">
        <f t="shared" si="2"/>
        <v>4.0981684297033043</v>
      </c>
      <c r="R57" s="2">
        <f>'collected data-merged'!N49</f>
        <v>142361.94161231248</v>
      </c>
      <c r="S57" s="2">
        <f t="shared" si="3"/>
        <v>258.83989384056815</v>
      </c>
      <c r="T57" s="206">
        <f>'collected data-merged'!T49</f>
        <v>15118838199.227585</v>
      </c>
      <c r="U57" s="219">
        <f t="shared" si="4"/>
        <v>27488796.725868337</v>
      </c>
      <c r="V57" s="2">
        <v>3</v>
      </c>
      <c r="W57" s="2">
        <v>1</v>
      </c>
    </row>
    <row r="58" spans="1:23" ht="86.4" hidden="1">
      <c r="A58" s="1" t="s">
        <v>2283</v>
      </c>
      <c r="B58" s="1" t="s">
        <v>2275</v>
      </c>
      <c r="C58" s="1">
        <v>1</v>
      </c>
      <c r="D58" s="1" t="str">
        <f>'collected data-merged'!D50</f>
        <v>FLH11</v>
      </c>
      <c r="E58" s="1" t="s">
        <v>667</v>
      </c>
      <c r="F58" s="205" t="str">
        <f>'DCP3 causes and BoD CIV'!B50</f>
        <v>FLH11</v>
      </c>
      <c r="G58" s="2" t="s">
        <v>52</v>
      </c>
      <c r="H58" s="2" t="s">
        <v>10</v>
      </c>
      <c r="I58" s="2" t="s">
        <v>2315</v>
      </c>
      <c r="J58" s="2" t="str">
        <f t="shared" si="5"/>
        <v>Lower respiratory infections; Urinary tract infections; Diarrheal diseases; Malaria; HIV/AIDS; Drug-susceptible tuberculosis; Multidrug-resistant tuberculosis without extensive drug resistance; Extensively drug-resistant tuberculosis; Zika virus; Dengue; Ebola: 0</v>
      </c>
      <c r="K58" s="1" t="s">
        <v>2316</v>
      </c>
      <c r="L58" s="6">
        <v>805</v>
      </c>
      <c r="M58" s="204">
        <f>'collected data-merged'!R50/'collected data-merged'!Q50</f>
        <v>1.6</v>
      </c>
      <c r="N58" s="205">
        <f t="shared" si="6"/>
        <v>0</v>
      </c>
      <c r="O58" s="205">
        <f>'DCP3 causes and BoD CIV'!E50</f>
        <v>3352421.2875764542</v>
      </c>
      <c r="P58" s="212">
        <f>N58/'DCP3 causes and BoD CIV'!E50</f>
        <v>0</v>
      </c>
      <c r="Q58" s="213">
        <f t="shared" si="2"/>
        <v>0</v>
      </c>
      <c r="R58" s="2">
        <f>'collected data-merged'!N50</f>
        <v>0</v>
      </c>
      <c r="S58" s="2">
        <f t="shared" si="3"/>
        <v>0</v>
      </c>
      <c r="T58" s="206">
        <f>'collected data-merged'!T50</f>
        <v>0</v>
      </c>
      <c r="U58" s="219">
        <f t="shared" si="4"/>
        <v>0</v>
      </c>
      <c r="V58" s="2">
        <v>3</v>
      </c>
      <c r="W58" s="2">
        <v>2</v>
      </c>
    </row>
    <row r="59" spans="1:23" ht="28.8" hidden="1">
      <c r="A59" s="1" t="s">
        <v>2287</v>
      </c>
      <c r="B59" s="1" t="s">
        <v>2275</v>
      </c>
      <c r="C59" s="1">
        <v>1</v>
      </c>
      <c r="D59" s="1" t="str">
        <f>'collected data-merged'!D51</f>
        <v>FLH12</v>
      </c>
      <c r="E59" s="1" t="s">
        <v>668</v>
      </c>
      <c r="F59" s="205" t="str">
        <f>'DCP3 causes and BoD CIV'!B51</f>
        <v>FLH12</v>
      </c>
      <c r="G59" s="2" t="s">
        <v>245</v>
      </c>
      <c r="H59" s="2" t="s">
        <v>10</v>
      </c>
      <c r="I59" s="2" t="s">
        <v>1614</v>
      </c>
      <c r="J59" s="2" t="str">
        <f t="shared" si="5"/>
        <v>Protein-energy malnutrition: 0.174258693621797</v>
      </c>
      <c r="K59" s="1" t="str">
        <f>J59</f>
        <v>Protein-energy malnutrition: 0.174258693621797</v>
      </c>
      <c r="L59" s="2">
        <v>26</v>
      </c>
      <c r="M59" s="204">
        <f>'collected data-merged'!R51/'collected data-merged'!Q51</f>
        <v>1</v>
      </c>
      <c r="N59" s="205">
        <f t="shared" si="6"/>
        <v>34136.124125874121</v>
      </c>
      <c r="O59" s="205">
        <f>'DCP3 causes and BoD CIV'!E51</f>
        <v>195893.3779221455</v>
      </c>
      <c r="P59" s="212">
        <f>N59/'DCP3 causes and BoD CIV'!E51</f>
        <v>0.17425869362179738</v>
      </c>
      <c r="Q59" s="213">
        <f t="shared" si="2"/>
        <v>0.17425869362179738</v>
      </c>
      <c r="R59" s="2">
        <f>'collected data-merged'!N51</f>
        <v>15000</v>
      </c>
      <c r="S59" s="2">
        <f t="shared" si="3"/>
        <v>27.272727272727273</v>
      </c>
      <c r="T59" s="206">
        <f>'collected data-merged'!T51</f>
        <v>697352250</v>
      </c>
      <c r="U59" s="219">
        <f t="shared" si="4"/>
        <v>1267913.1818181819</v>
      </c>
      <c r="V59" s="2">
        <v>3</v>
      </c>
      <c r="W59" s="2">
        <v>1</v>
      </c>
    </row>
    <row r="60" spans="1:23" ht="28.8" hidden="1">
      <c r="A60" s="1" t="s">
        <v>2283</v>
      </c>
      <c r="B60" s="1" t="s">
        <v>2275</v>
      </c>
      <c r="C60" s="1">
        <v>1</v>
      </c>
      <c r="D60" s="1" t="str">
        <f>'collected data-merged'!D52</f>
        <v>FLH13</v>
      </c>
      <c r="E60" s="1" t="s">
        <v>678</v>
      </c>
      <c r="F60" s="205" t="str">
        <f>'DCP3 causes and BoD CIV'!B52</f>
        <v>FLH13</v>
      </c>
      <c r="G60" s="2" t="s">
        <v>544</v>
      </c>
      <c r="H60" s="2" t="s">
        <v>10</v>
      </c>
      <c r="I60" s="2" t="s">
        <v>400</v>
      </c>
      <c r="J60" s="2" t="str">
        <f t="shared" si="5"/>
        <v>Cervical cancer: 0.00403296311305891</v>
      </c>
      <c r="K60" s="1" t="str">
        <f>J60</f>
        <v>Cervical cancer: 0.00403296311305891</v>
      </c>
      <c r="L60" s="6">
        <v>805</v>
      </c>
      <c r="M60" s="204">
        <f>'collected data-merged'!R52/'collected data-merged'!Q52</f>
        <v>4</v>
      </c>
      <c r="N60" s="205">
        <f t="shared" si="6"/>
        <v>18.873349654605256</v>
      </c>
      <c r="O60" s="205">
        <f>'DCP3 causes and BoD CIV'!E52</f>
        <v>18719.08978635833</v>
      </c>
      <c r="P60" s="212">
        <f>N60/'DCP3 causes and BoD CIV'!E52</f>
        <v>1.0082407782647286E-3</v>
      </c>
      <c r="Q60" s="213">
        <f t="shared" si="2"/>
        <v>4.0329631130589143E-3</v>
      </c>
      <c r="R60" s="2">
        <f>'collected data-merged'!N52</f>
        <v>31415.549661979687</v>
      </c>
      <c r="S60" s="2">
        <f t="shared" si="3"/>
        <v>57.119181203599432</v>
      </c>
      <c r="T60" s="206">
        <f>'collected data-merged'!T52</f>
        <v>11937393.656537825</v>
      </c>
      <c r="U60" s="219">
        <f t="shared" si="4"/>
        <v>21704.352102796045</v>
      </c>
      <c r="V60" s="2">
        <v>2</v>
      </c>
      <c r="W60" s="2">
        <v>1</v>
      </c>
    </row>
    <row r="61" spans="1:23" ht="43.2" hidden="1">
      <c r="A61" s="1" t="s">
        <v>2285</v>
      </c>
      <c r="B61" s="1" t="s">
        <v>2275</v>
      </c>
      <c r="C61" s="1">
        <v>1</v>
      </c>
      <c r="D61" s="1" t="str">
        <f>'collected data-merged'!D53</f>
        <v>FLH14</v>
      </c>
      <c r="E61" s="1" t="s">
        <v>679</v>
      </c>
      <c r="F61" s="205" t="str">
        <f>'DCP3 causes and BoD CIV'!B53</f>
        <v>FLH14</v>
      </c>
      <c r="G61" s="2" t="s">
        <v>131</v>
      </c>
      <c r="H61" s="2" t="s">
        <v>29</v>
      </c>
      <c r="I61" s="2" t="s">
        <v>2031</v>
      </c>
      <c r="J61" s="2" t="str">
        <f t="shared" si="5"/>
        <v>Maternal abortion and miscarriage; Indirect maternal deaths; Late maternal deaths; Ectopic pregnancy: 0.30522018626244</v>
      </c>
      <c r="K61" s="1" t="s">
        <v>2324</v>
      </c>
      <c r="L61" s="6">
        <v>402.5</v>
      </c>
      <c r="M61" s="204">
        <f>'collected data-merged'!R53/'collected data-merged'!Q53</f>
        <v>2.3738872403560829</v>
      </c>
      <c r="N61" s="205">
        <f t="shared" si="6"/>
        <v>8722.2670339920951</v>
      </c>
      <c r="O61" s="205">
        <f>'DCP3 causes and BoD CIV'!E53</f>
        <v>67838.496111684974</v>
      </c>
      <c r="P61" s="212">
        <f>N61/'DCP3 causes and BoD CIV'!E53</f>
        <v>0.12857400346305306</v>
      </c>
      <c r="Q61" s="213">
        <f t="shared" si="2"/>
        <v>0.30522018626244046</v>
      </c>
      <c r="R61" s="2">
        <f>'collected data-merged'!N53</f>
        <v>1500</v>
      </c>
      <c r="S61" s="2">
        <f t="shared" si="3"/>
        <v>2.7272727272727271</v>
      </c>
      <c r="T61" s="206">
        <f>'collected data-merged'!T53</f>
        <v>2758416949.5</v>
      </c>
      <c r="U61" s="219">
        <f t="shared" si="4"/>
        <v>5015303.5445454549</v>
      </c>
      <c r="V61" s="2">
        <v>2</v>
      </c>
      <c r="W61" s="2">
        <v>2</v>
      </c>
    </row>
    <row r="62" spans="1:23" ht="43.2" hidden="1">
      <c r="A62" s="1" t="s">
        <v>2283</v>
      </c>
      <c r="B62" s="1" t="s">
        <v>2275</v>
      </c>
      <c r="C62" s="1">
        <v>1</v>
      </c>
      <c r="D62" s="1" t="str">
        <f>'collected data-merged'!D54</f>
        <v>FLH15</v>
      </c>
      <c r="E62" s="1" t="s">
        <v>680</v>
      </c>
      <c r="F62" s="205" t="str">
        <f>'DCP3 causes and BoD CIV'!B54</f>
        <v>FLH15</v>
      </c>
      <c r="G62" s="2" t="s">
        <v>283</v>
      </c>
      <c r="H62" s="2" t="s">
        <v>10</v>
      </c>
      <c r="I62" s="2" t="s">
        <v>2031</v>
      </c>
      <c r="J62" s="2" t="str">
        <f t="shared" si="5"/>
        <v>Maternal abortion and miscarriage; Indirect maternal deaths; Late maternal deaths; Ectopic pregnancy: 0.267826599077181</v>
      </c>
      <c r="K62" s="1" t="s">
        <v>2325</v>
      </c>
      <c r="L62" s="6">
        <v>805</v>
      </c>
      <c r="M62" s="204">
        <f>'collected data-merged'!R54/'collected data-merged'!Q54</f>
        <v>7.117437722419929</v>
      </c>
      <c r="N62" s="205">
        <f t="shared" si="6"/>
        <v>2552.7379948644898</v>
      </c>
      <c r="O62" s="205">
        <f>'DCP3 causes and BoD CIV'!E54</f>
        <v>67838.496111684974</v>
      </c>
      <c r="P62" s="212">
        <f>N62/'DCP3 causes and BoD CIV'!E54</f>
        <v>3.7629637170343885E-2</v>
      </c>
      <c r="Q62" s="213">
        <f t="shared" si="2"/>
        <v>0.2678265990771807</v>
      </c>
      <c r="R62" s="2">
        <f>'collected data-merged'!N54</f>
        <v>2632.4595599999998</v>
      </c>
      <c r="S62" s="2">
        <f t="shared" si="3"/>
        <v>4.7862901090909089</v>
      </c>
      <c r="T62" s="206">
        <f>'collected data-merged'!T54</f>
        <v>1614606781.75179</v>
      </c>
      <c r="U62" s="219">
        <f t="shared" si="4"/>
        <v>2935648.6940941638</v>
      </c>
      <c r="V62" s="2">
        <v>2</v>
      </c>
      <c r="W62" s="2">
        <v>2</v>
      </c>
    </row>
    <row r="63" spans="1:23" ht="43.2" hidden="1">
      <c r="A63" s="1" t="s">
        <v>2283</v>
      </c>
      <c r="B63" s="1" t="s">
        <v>2275</v>
      </c>
      <c r="C63" s="1">
        <v>1</v>
      </c>
      <c r="D63" s="1" t="str">
        <f>'collected data-merged'!D55</f>
        <v>FLH16</v>
      </c>
      <c r="E63" s="1" t="s">
        <v>681</v>
      </c>
      <c r="F63" s="205" t="str">
        <f>'DCP3 causes and BoD CIV'!B55</f>
        <v>FLH16</v>
      </c>
      <c r="G63" s="2" t="s">
        <v>287</v>
      </c>
      <c r="H63" s="2" t="s">
        <v>10</v>
      </c>
      <c r="I63" s="2" t="s">
        <v>2031</v>
      </c>
      <c r="J63" s="2" t="str">
        <f t="shared" si="5"/>
        <v>Maternal abortion and miscarriage; Indirect maternal deaths; Late maternal deaths; Ectopic pregnancy: 0</v>
      </c>
      <c r="K63" s="1" t="s">
        <v>2195</v>
      </c>
      <c r="L63" s="6">
        <v>805</v>
      </c>
      <c r="M63" s="204">
        <f>'collected data-merged'!R55/'collected data-merged'!Q55</f>
        <v>4</v>
      </c>
      <c r="N63" s="205">
        <f t="shared" si="6"/>
        <v>0</v>
      </c>
      <c r="O63" s="205">
        <f>'DCP3 causes and BoD CIV'!E55</f>
        <v>67838.496111684974</v>
      </c>
      <c r="P63" s="212">
        <f>N63/'DCP3 causes and BoD CIV'!E55</f>
        <v>0</v>
      </c>
      <c r="Q63" s="213">
        <f t="shared" si="2"/>
        <v>0</v>
      </c>
      <c r="R63" s="2">
        <f>'collected data-merged'!N55</f>
        <v>0</v>
      </c>
      <c r="S63" s="2">
        <f t="shared" si="3"/>
        <v>0</v>
      </c>
      <c r="T63" s="206">
        <f>'collected data-merged'!T55</f>
        <v>0</v>
      </c>
      <c r="U63" s="219">
        <f t="shared" si="4"/>
        <v>0</v>
      </c>
      <c r="V63" s="2">
        <v>2</v>
      </c>
      <c r="W63" s="2">
        <v>2</v>
      </c>
    </row>
    <row r="64" spans="1:23" ht="43.2" hidden="1">
      <c r="B64" s="1" t="s">
        <v>2275</v>
      </c>
      <c r="C64" s="1">
        <v>1</v>
      </c>
      <c r="D64" s="1" t="str">
        <f>'collected data-merged'!D56</f>
        <v>FLH17</v>
      </c>
      <c r="E64" s="1" t="s">
        <v>691</v>
      </c>
      <c r="F64" s="205" t="str">
        <f>'DCP3 causes and BoD CIV'!B56</f>
        <v>FLH17</v>
      </c>
      <c r="G64" s="2" t="s">
        <v>213</v>
      </c>
      <c r="H64" s="2" t="s">
        <v>10</v>
      </c>
      <c r="I64" s="2" t="s">
        <v>2032</v>
      </c>
      <c r="J64" s="2" t="str">
        <f t="shared" si="5"/>
        <v>Multidrug-resistant tuberculosis without extensive drug resistance; HIV/AIDS - Multidrug-resistant Tuberculosis without extensive drug resistance: 0.834807971942364</v>
      </c>
      <c r="K64" s="1" t="s">
        <v>2326</v>
      </c>
      <c r="L64" s="2">
        <v>17</v>
      </c>
      <c r="M64" s="204">
        <f>'collected data-merged'!R56/'collected data-merged'!Q56</f>
        <v>2.767295597484277</v>
      </c>
      <c r="N64" s="205">
        <f t="shared" si="6"/>
        <v>63337.505860600511</v>
      </c>
      <c r="O64" s="205">
        <f>'DCP3 causes and BoD CIV'!E56</f>
        <v>209956.78888386968</v>
      </c>
      <c r="P64" s="212">
        <f>N64/'DCP3 causes and BoD CIV'!E56</f>
        <v>0.30166924440644527</v>
      </c>
      <c r="Q64" s="213">
        <f t="shared" si="2"/>
        <v>0.83480797194236434</v>
      </c>
      <c r="R64" s="2">
        <f>'collected data-merged'!N56</f>
        <v>2505087.4521644339</v>
      </c>
      <c r="S64" s="2">
        <f t="shared" si="3"/>
        <v>4554.7044584807891</v>
      </c>
      <c r="T64" s="206">
        <f>'collected data-merged'!T56</f>
        <v>846008113.99516404</v>
      </c>
      <c r="U64" s="219">
        <f t="shared" si="4"/>
        <v>1538196.5709002982</v>
      </c>
      <c r="V64" s="2">
        <v>4</v>
      </c>
      <c r="W64" s="2">
        <v>3</v>
      </c>
    </row>
    <row r="65" spans="1:23" ht="28.8" hidden="1">
      <c r="A65" s="1" t="s">
        <v>2287</v>
      </c>
      <c r="B65" s="1" t="s">
        <v>2275</v>
      </c>
      <c r="C65" s="1">
        <v>1</v>
      </c>
      <c r="D65" s="1" t="str">
        <f>'collected data-merged'!D57</f>
        <v>FLH19</v>
      </c>
      <c r="E65" s="1" t="s">
        <v>730</v>
      </c>
      <c r="F65" s="205" t="str">
        <f>'DCP3 causes and BoD CIV'!B57</f>
        <v>FLH19</v>
      </c>
      <c r="G65" s="2" t="s">
        <v>247</v>
      </c>
      <c r="H65" s="2" t="s">
        <v>10</v>
      </c>
      <c r="I65" s="2" t="s">
        <v>330</v>
      </c>
      <c r="J65" s="2" t="str">
        <f t="shared" si="5"/>
        <v>Malaria: 0.507528882951025</v>
      </c>
      <c r="K65" s="1" t="str">
        <f>J65</f>
        <v>Malaria: 0.507528882951025</v>
      </c>
      <c r="L65" s="6">
        <v>60</v>
      </c>
      <c r="M65" s="204">
        <f>'collected data-merged'!R57/'collected data-merged'!Q57</f>
        <v>1</v>
      </c>
      <c r="N65" s="205">
        <f t="shared" si="6"/>
        <v>564533.34</v>
      </c>
      <c r="O65" s="205">
        <f>'DCP3 causes and BoD CIV'!E57</f>
        <v>1112317.6610511751</v>
      </c>
      <c r="P65" s="212">
        <f>N65/'DCP3 causes and BoD CIV'!E57</f>
        <v>0.50752888295102516</v>
      </c>
      <c r="Q65" s="213">
        <f t="shared" si="2"/>
        <v>0.50752888295102516</v>
      </c>
      <c r="R65" s="2">
        <f>'collected data-merged'!N57</f>
        <v>20000</v>
      </c>
      <c r="S65" s="2">
        <f t="shared" si="3"/>
        <v>36.363636363636367</v>
      </c>
      <c r="T65" s="206">
        <f>'collected data-merged'!T57</f>
        <v>26613714600</v>
      </c>
      <c r="U65" s="219">
        <f t="shared" si="4"/>
        <v>48388572</v>
      </c>
      <c r="V65" s="2">
        <v>4</v>
      </c>
      <c r="W65" s="2">
        <v>1</v>
      </c>
    </row>
    <row r="66" spans="1:23" ht="115.2" hidden="1">
      <c r="B66" s="1" t="s">
        <v>2275</v>
      </c>
      <c r="C66" s="1">
        <v>1</v>
      </c>
      <c r="D66" s="1" t="str">
        <f>'collected data-merged'!D58</f>
        <v>FLH2</v>
      </c>
      <c r="E66" s="1" t="s">
        <v>625</v>
      </c>
      <c r="F66" s="205" t="str">
        <f>'DCP3 causes and BoD CIV'!B58</f>
        <v>FLH2</v>
      </c>
      <c r="G66" s="2" t="s">
        <v>125</v>
      </c>
      <c r="H66" s="2" t="s">
        <v>10</v>
      </c>
      <c r="I66" s="2" t="s">
        <v>2033</v>
      </c>
      <c r="J66" s="2" t="str">
        <f t="shared" si="5"/>
        <v>Maternal hemorrhage; Other maternal disorders; Maternal sepsis and other maternal infections; Maternal hypertensive disorders; Maternal obstructed labor and uterine rupture; Maternal abortion and miscarriage; Ectopic pregnancy; Indirect maternal deaths; Late maternal deaths; Neonatal encephalopathy due to birth asphyxia and trauma: 0.0013429553837189</v>
      </c>
      <c r="K66" s="1" t="s">
        <v>2197</v>
      </c>
      <c r="L66" s="6">
        <v>117.15</v>
      </c>
      <c r="M66" s="204">
        <f>'collected data-merged'!R58/'collected data-merged'!Q58</f>
        <v>1.6</v>
      </c>
      <c r="N66" s="205">
        <f t="shared" si="6"/>
        <v>666.77561976863171</v>
      </c>
      <c r="O66" s="205">
        <f>'DCP3 causes and BoD CIV'!E58</f>
        <v>794397.94096176536</v>
      </c>
      <c r="P66" s="212">
        <f>N66/'DCP3 causes and BoD CIV'!E58</f>
        <v>8.3934711482431179E-4</v>
      </c>
      <c r="Q66" s="213">
        <f t="shared" si="2"/>
        <v>1.3429553837188989E-3</v>
      </c>
      <c r="R66" s="2">
        <f>'collected data-merged'!N58</f>
        <v>1467.8514515826071</v>
      </c>
      <c r="S66" s="2">
        <f t="shared" si="3"/>
        <v>2.6688208210592856</v>
      </c>
      <c r="T66" s="206">
        <f>'collected data-merged'!T58</f>
        <v>61374314.458203383</v>
      </c>
      <c r="U66" s="219">
        <f t="shared" si="4"/>
        <v>111589.66265127888</v>
      </c>
      <c r="V66" s="2">
        <v>2</v>
      </c>
      <c r="W66" s="2">
        <v>1</v>
      </c>
    </row>
    <row r="67" spans="1:23" ht="28.8" hidden="1">
      <c r="B67" s="1" t="s">
        <v>2275</v>
      </c>
      <c r="C67" s="1">
        <v>1</v>
      </c>
      <c r="D67" s="1" t="str">
        <f>'collected data-merged'!D59</f>
        <v>FLH20</v>
      </c>
      <c r="E67" s="1" t="s">
        <v>737</v>
      </c>
      <c r="F67" s="205" t="str">
        <f>'DCP3 causes and BoD CIV'!B59</f>
        <v>FLH20</v>
      </c>
      <c r="G67" s="2" t="s">
        <v>156</v>
      </c>
      <c r="H67" s="2" t="s">
        <v>10</v>
      </c>
      <c r="I67" s="2" t="s">
        <v>480</v>
      </c>
      <c r="J67" s="2" t="str">
        <f t="shared" si="5"/>
        <v>Ischemic heart disease: 0.036577434284071</v>
      </c>
      <c r="K67" s="1" t="str">
        <f>J67</f>
        <v>Ischemic heart disease: 0.036577434284071</v>
      </c>
      <c r="L67" s="2">
        <v>2530</v>
      </c>
      <c r="M67" s="204">
        <f>'collected data-merged'!R59/'collected data-merged'!Q59</f>
        <v>1.5000000000000002</v>
      </c>
      <c r="N67" s="205">
        <f t="shared" si="6"/>
        <v>7239.3651604584238</v>
      </c>
      <c r="O67" s="205">
        <f>'DCP3 causes and BoD CIV'!E59</f>
        <v>296878.33368390769</v>
      </c>
      <c r="P67" s="212">
        <f>N67/'DCP3 causes and BoD CIV'!E59</f>
        <v>2.4384956189380667E-2</v>
      </c>
      <c r="Q67" s="213">
        <f t="shared" si="2"/>
        <v>3.6577434284071009E-2</v>
      </c>
      <c r="R67" s="2">
        <f>'collected data-merged'!N59</f>
        <v>398604.55242760188</v>
      </c>
      <c r="S67" s="2">
        <f t="shared" si="3"/>
        <v>724.73554986836712</v>
      </c>
      <c r="T67" s="206">
        <f>'collected data-merged'!T59</f>
        <v>14390823743.968426</v>
      </c>
      <c r="U67" s="219">
        <f t="shared" si="4"/>
        <v>26165134.079942591</v>
      </c>
      <c r="V67" s="2">
        <v>4</v>
      </c>
      <c r="W67" s="2">
        <v>1</v>
      </c>
    </row>
    <row r="68" spans="1:23" ht="28.8" hidden="1">
      <c r="B68" s="1" t="s">
        <v>2276</v>
      </c>
      <c r="C68" s="1">
        <v>1</v>
      </c>
      <c r="D68" s="1" t="str">
        <f>'collected data-merged'!D60</f>
        <v>FLH21</v>
      </c>
      <c r="E68" s="1" t="s">
        <v>738</v>
      </c>
      <c r="F68" s="205" t="str">
        <f>'DCP3 causes and BoD CIV'!B60</f>
        <v>FLH21</v>
      </c>
      <c r="G68" s="2" t="s">
        <v>12</v>
      </c>
      <c r="H68" s="2" t="s">
        <v>10</v>
      </c>
      <c r="I68" s="2" t="s">
        <v>453</v>
      </c>
      <c r="J68" s="2" t="str">
        <f t="shared" si="5"/>
        <v>Cardiovascular diseases: 2.55932137558315</v>
      </c>
      <c r="K68" s="1" t="s">
        <v>2301</v>
      </c>
      <c r="L68" s="2">
        <v>18</v>
      </c>
      <c r="M68" s="204">
        <f>'collected data-merged'!R60/'collected data-merged'!Q60</f>
        <v>1.5000000000000002</v>
      </c>
      <c r="N68" s="205">
        <f t="shared" si="6"/>
        <v>1244752.3179009638</v>
      </c>
      <c r="O68" s="205">
        <f>'DCP3 causes and BoD CIV'!E60</f>
        <v>729540.45344384026</v>
      </c>
      <c r="P68" s="212">
        <f>N68/'DCP3 causes and BoD CIV'!E60</f>
        <v>1.7062142503887681</v>
      </c>
      <c r="Q68" s="213">
        <f t="shared" si="2"/>
        <v>2.5593213755831523</v>
      </c>
      <c r="R68" s="2">
        <f>'collected data-merged'!N60</f>
        <v>487614.59772030899</v>
      </c>
      <c r="S68" s="2">
        <f t="shared" si="3"/>
        <v>886.57199585510728</v>
      </c>
      <c r="T68" s="206">
        <f>'collected data-merged'!T60</f>
        <v>17604354210.313633</v>
      </c>
      <c r="U68" s="219">
        <f t="shared" si="4"/>
        <v>32007916.746024787</v>
      </c>
      <c r="V68" s="2">
        <v>4</v>
      </c>
      <c r="W68" s="2">
        <v>1</v>
      </c>
    </row>
    <row r="69" spans="1:23" ht="28.8" hidden="1">
      <c r="B69" s="1" t="s">
        <v>2276</v>
      </c>
      <c r="C69" s="1">
        <v>1</v>
      </c>
      <c r="D69" s="1" t="str">
        <f>'collected data-merged'!D61</f>
        <v>FLH22</v>
      </c>
      <c r="E69" s="1" t="s">
        <v>739</v>
      </c>
      <c r="F69" s="205" t="str">
        <f>'DCP3 causes and BoD CIV'!B61</f>
        <v>FLH22</v>
      </c>
      <c r="G69" s="2" t="s">
        <v>9</v>
      </c>
      <c r="H69" s="2" t="s">
        <v>10</v>
      </c>
      <c r="I69" s="2" t="s">
        <v>2034</v>
      </c>
      <c r="J69" s="2" t="str">
        <f t="shared" si="5"/>
        <v>Chronic obstructive pulmonary disease; Asthma: 0.0301201911772101</v>
      </c>
      <c r="K69" s="1" t="s">
        <v>2198</v>
      </c>
      <c r="L69" s="2">
        <v>5488</v>
      </c>
      <c r="M69" s="204">
        <f>'collected data-merged'!R61/'collected data-merged'!Q61</f>
        <v>1.5000000000000002</v>
      </c>
      <c r="N69" s="205">
        <f t="shared" si="6"/>
        <v>3523.0027691957598</v>
      </c>
      <c r="O69" s="205">
        <f>'DCP3 causes and BoD CIV'!E61</f>
        <v>175447.23148344667</v>
      </c>
      <c r="P69" s="212">
        <f>N69/'DCP3 causes and BoD CIV'!E61</f>
        <v>2.0080127451473365E-2</v>
      </c>
      <c r="Q69" s="213">
        <f t="shared" si="2"/>
        <v>3.0120191177210053E-2</v>
      </c>
      <c r="R69" s="2">
        <f>'collected data-merged'!N61</f>
        <v>58410</v>
      </c>
      <c r="S69" s="2">
        <f t="shared" si="3"/>
        <v>106.2</v>
      </c>
      <c r="T69" s="206">
        <f>'collected data-merged'!T61</f>
        <v>15191187940.772118</v>
      </c>
      <c r="U69" s="219">
        <f t="shared" si="4"/>
        <v>27620341.71049476</v>
      </c>
      <c r="V69" s="2">
        <v>4</v>
      </c>
      <c r="W69" s="2">
        <v>1</v>
      </c>
    </row>
    <row r="70" spans="1:23" ht="28.8" hidden="1">
      <c r="B70" s="1" t="s">
        <v>2276</v>
      </c>
      <c r="C70" s="1">
        <v>1</v>
      </c>
      <c r="D70" s="1" t="str">
        <f>'collected data-merged'!D62</f>
        <v>FLH23</v>
      </c>
      <c r="E70" s="1" t="s">
        <v>740</v>
      </c>
      <c r="F70" s="205" t="str">
        <f>'DCP3 causes and BoD CIV'!B62</f>
        <v>FLH23</v>
      </c>
      <c r="G70" s="2" t="s">
        <v>176</v>
      </c>
      <c r="H70" s="2" t="s">
        <v>10</v>
      </c>
      <c r="I70" s="2" t="s">
        <v>1492</v>
      </c>
      <c r="J70" s="2" t="str">
        <f t="shared" si="5"/>
        <v>Other cardiovascular and circulatory diseases: 37.0451005233669</v>
      </c>
      <c r="K70" s="1" t="s">
        <v>2205</v>
      </c>
      <c r="L70" s="2">
        <v>13</v>
      </c>
      <c r="M70" s="204">
        <f>'collected data-merged'!R62/'collected data-merged'!Q62</f>
        <v>1.5000000000000002</v>
      </c>
      <c r="N70" s="205">
        <f t="shared" si="6"/>
        <v>1478372.3725813397</v>
      </c>
      <c r="O70" s="205">
        <f>'DCP3 causes and BoD CIV'!E62</f>
        <v>59861.048493396447</v>
      </c>
      <c r="P70" s="212">
        <f>N70/'DCP3 causes and BoD CIV'!E62</f>
        <v>24.69673368224457</v>
      </c>
      <c r="Q70" s="213">
        <f t="shared" si="2"/>
        <v>37.045100523366862</v>
      </c>
      <c r="R70" s="2">
        <f>'collected data-merged'!N62</f>
        <v>572340.53210207354</v>
      </c>
      <c r="S70" s="2">
        <f t="shared" si="3"/>
        <v>1040.6191492764974</v>
      </c>
      <c r="T70" s="206">
        <f>'collected data-merged'!T62</f>
        <v>15100517805.652256</v>
      </c>
      <c r="U70" s="219">
        <f t="shared" si="4"/>
        <v>27455486.919367738</v>
      </c>
      <c r="V70" s="2">
        <v>5</v>
      </c>
      <c r="W70" s="2">
        <v>3</v>
      </c>
    </row>
    <row r="71" spans="1:23" ht="28.8" hidden="1">
      <c r="B71" s="1" t="s">
        <v>2276</v>
      </c>
      <c r="C71" s="1">
        <v>1</v>
      </c>
      <c r="D71" s="1" t="str">
        <f>'collected data-merged'!D63</f>
        <v>FLH24</v>
      </c>
      <c r="E71" s="1" t="s">
        <v>756</v>
      </c>
      <c r="F71" s="205" t="str">
        <f>'DCP3 causes and BoD CIV'!B63</f>
        <v>FLH24</v>
      </c>
      <c r="G71" s="2" t="s">
        <v>43</v>
      </c>
      <c r="H71" s="2" t="s">
        <v>10</v>
      </c>
      <c r="I71" s="2" t="s">
        <v>538</v>
      </c>
      <c r="J71" s="2" t="str">
        <f t="shared" si="5"/>
        <v>Paralytic ileus and intestinal obstruction: 0</v>
      </c>
      <c r="K71" s="1" t="s">
        <v>2154</v>
      </c>
      <c r="L71" s="2">
        <v>47.24</v>
      </c>
      <c r="M71" s="204">
        <f>'collected data-merged'!R63/'collected data-merged'!Q63</f>
        <v>1.5000000000000002</v>
      </c>
      <c r="N71" s="205">
        <f t="shared" si="6"/>
        <v>0</v>
      </c>
      <c r="O71" s="205">
        <f>'DCP3 causes and BoD CIV'!E63</f>
        <v>43375.551490604463</v>
      </c>
      <c r="P71" s="212">
        <f>N71/'DCP3 causes and BoD CIV'!E63</f>
        <v>0</v>
      </c>
      <c r="Q71" s="213">
        <f t="shared" si="2"/>
        <v>0</v>
      </c>
      <c r="R71" s="2">
        <f>'collected data-merged'!N63</f>
        <v>142361.94161231248</v>
      </c>
      <c r="S71" s="2">
        <f t="shared" si="3"/>
        <v>258.83989384056815</v>
      </c>
      <c r="T71" s="206">
        <f>'collected data-merged'!T63</f>
        <v>0</v>
      </c>
      <c r="U71" s="219">
        <f t="shared" si="4"/>
        <v>0</v>
      </c>
      <c r="V71" s="2">
        <v>5</v>
      </c>
      <c r="W71" s="2">
        <v>3</v>
      </c>
    </row>
    <row r="72" spans="1:23" ht="28.8" hidden="1">
      <c r="A72" s="1" t="s">
        <v>2279</v>
      </c>
      <c r="B72" s="1" t="s">
        <v>2276</v>
      </c>
      <c r="C72" s="1">
        <v>1</v>
      </c>
      <c r="D72" s="1" t="str">
        <f>'collected data-merged'!D64</f>
        <v>FLH25</v>
      </c>
      <c r="E72" s="1" t="s">
        <v>768</v>
      </c>
      <c r="F72" s="205" t="str">
        <f>'DCP3 causes and BoD CIV'!B64</f>
        <v>FLH25</v>
      </c>
      <c r="G72" s="2" t="s">
        <v>536</v>
      </c>
      <c r="H72" s="2" t="s">
        <v>10</v>
      </c>
      <c r="I72" s="2" t="s">
        <v>1654</v>
      </c>
      <c r="J72" s="2" t="str">
        <f t="shared" si="5"/>
        <v>Other musculoskeletal disorders: 0</v>
      </c>
      <c r="K72" s="1" t="s">
        <v>2155</v>
      </c>
      <c r="L72" s="6">
        <v>805</v>
      </c>
      <c r="M72" s="204">
        <f>'collected data-merged'!R64/'collected data-merged'!Q64</f>
        <v>1.5000000000000002</v>
      </c>
      <c r="N72" s="205">
        <f t="shared" si="6"/>
        <v>0</v>
      </c>
      <c r="O72" s="205">
        <f>'DCP3 causes and BoD CIV'!E64</f>
        <v>35255.243959711523</v>
      </c>
      <c r="P72" s="212">
        <f>N72/'DCP3 causes and BoD CIV'!E64</f>
        <v>0</v>
      </c>
      <c r="Q72" s="213">
        <f t="shared" si="2"/>
        <v>0</v>
      </c>
      <c r="R72" s="2">
        <f>'collected data-merged'!N64</f>
        <v>7714.8768761742904</v>
      </c>
      <c r="S72" s="2">
        <f t="shared" si="3"/>
        <v>14.027048865771437</v>
      </c>
      <c r="T72" s="206">
        <f>'collected data-merged'!T64</f>
        <v>0</v>
      </c>
      <c r="U72" s="219">
        <f t="shared" si="4"/>
        <v>0</v>
      </c>
      <c r="V72" s="2">
        <v>1</v>
      </c>
      <c r="W72" s="2">
        <v>2</v>
      </c>
    </row>
    <row r="73" spans="1:23" ht="28.8" hidden="1">
      <c r="B73" s="1" t="s">
        <v>2276</v>
      </c>
      <c r="C73" s="1">
        <v>1</v>
      </c>
      <c r="D73" s="1" t="str">
        <f>'collected data-merged'!D65</f>
        <v>FLH26</v>
      </c>
      <c r="E73" s="1" t="s">
        <v>769</v>
      </c>
      <c r="F73" s="205" t="str">
        <f>'DCP3 causes and BoD CIV'!B65</f>
        <v>FLH26</v>
      </c>
      <c r="G73" s="2" t="s">
        <v>270</v>
      </c>
      <c r="H73" s="2" t="s">
        <v>10</v>
      </c>
      <c r="I73" s="2" t="s">
        <v>540</v>
      </c>
      <c r="J73" s="2" t="str">
        <f t="shared" si="5"/>
        <v>Rheumatoid arthritis: 175.95791698503</v>
      </c>
      <c r="K73" s="1" t="s">
        <v>2206</v>
      </c>
      <c r="L73" s="2">
        <v>1</v>
      </c>
      <c r="M73" s="204">
        <f>'collected data-merged'!R65/'collected data-merged'!Q65</f>
        <v>1.5000000000000002</v>
      </c>
      <c r="N73" s="205">
        <f t="shared" si="6"/>
        <v>388371.22199030954</v>
      </c>
      <c r="O73" s="205">
        <f>'DCP3 causes and BoD CIV'!E65</f>
        <v>3310.7736381934201</v>
      </c>
      <c r="P73" s="212">
        <f>N73/'DCP3 causes and BoD CIV'!E65</f>
        <v>117.30527799002014</v>
      </c>
      <c r="Q73" s="213">
        <f t="shared" si="2"/>
        <v>175.95791698503024</v>
      </c>
      <c r="R73" s="2">
        <f>'collected data-merged'!N65</f>
        <v>72891.629891177596</v>
      </c>
      <c r="S73" s="2">
        <f t="shared" si="3"/>
        <v>132.53023616577744</v>
      </c>
      <c r="T73" s="206">
        <f>'collected data-merged'!T65</f>
        <v>305148817.27810037</v>
      </c>
      <c r="U73" s="219">
        <f t="shared" si="4"/>
        <v>554816.03141472791</v>
      </c>
      <c r="V73" s="2">
        <v>4</v>
      </c>
      <c r="W73" s="2">
        <v>1</v>
      </c>
    </row>
    <row r="74" spans="1:23" ht="28.8" hidden="1">
      <c r="B74" s="1" t="s">
        <v>2276</v>
      </c>
      <c r="C74" s="1">
        <v>1</v>
      </c>
      <c r="D74" s="1" t="str">
        <f>'collected data-merged'!D66</f>
        <v>FLH27</v>
      </c>
      <c r="E74" s="1" t="s">
        <v>774</v>
      </c>
      <c r="F74" s="205" t="str">
        <f>'DCP3 causes and BoD CIV'!B66</f>
        <v>FLH27</v>
      </c>
      <c r="G74" s="2" t="s">
        <v>557</v>
      </c>
      <c r="H74" s="2" t="s">
        <v>10</v>
      </c>
      <c r="I74" s="2" t="s">
        <v>2035</v>
      </c>
      <c r="J74" s="2" t="str">
        <f t="shared" ref="J74:J105" si="7">CONCATENATE(I74, ":", " ", Q74)</f>
        <v>Sickle cell disorders; Neonatal sepsis and other neonatal infections; Malaria: 0</v>
      </c>
      <c r="K74" s="1" t="s">
        <v>2199</v>
      </c>
      <c r="L74" s="2">
        <v>119</v>
      </c>
      <c r="M74" s="204">
        <f>'collected data-merged'!R66/'collected data-merged'!Q66</f>
        <v>1.5000000000000002</v>
      </c>
      <c r="N74" s="205">
        <f t="shared" ref="N74:N105" si="8">((T74/L74)/FCFA_US__exchange)*Quality_reduction</f>
        <v>0</v>
      </c>
      <c r="O74" s="205">
        <f>'DCP3 causes and BoD CIV'!E66</f>
        <v>1424941.4018910795</v>
      </c>
      <c r="P74" s="212">
        <f>N74/'DCP3 causes and BoD CIV'!E66</f>
        <v>0</v>
      </c>
      <c r="Q74" s="213">
        <f t="shared" si="2"/>
        <v>0</v>
      </c>
      <c r="R74" s="2">
        <f>'collected data-merged'!N66</f>
        <v>2405.7024794946901</v>
      </c>
      <c r="S74" s="2">
        <f t="shared" si="3"/>
        <v>4.3740045081721641</v>
      </c>
      <c r="T74" s="206">
        <f>'collected data-merged'!T66</f>
        <v>0</v>
      </c>
      <c r="U74" s="219">
        <f t="shared" si="4"/>
        <v>0</v>
      </c>
      <c r="V74" s="2">
        <v>2</v>
      </c>
      <c r="W74" s="2">
        <v>3</v>
      </c>
    </row>
    <row r="75" spans="1:23" ht="28.8" hidden="1">
      <c r="A75" s="1" t="s">
        <v>2279</v>
      </c>
      <c r="B75" s="1" t="s">
        <v>2276</v>
      </c>
      <c r="C75" s="1">
        <v>1</v>
      </c>
      <c r="D75" s="1" t="str">
        <f>'collected data-merged'!D67</f>
        <v>FLH3</v>
      </c>
      <c r="E75" s="1" t="s">
        <v>626</v>
      </c>
      <c r="F75" s="205" t="str">
        <f>'DCP3 causes and BoD CIV'!B67</f>
        <v>FLH3</v>
      </c>
      <c r="G75" s="2" t="s">
        <v>147</v>
      </c>
      <c r="H75" s="2" t="s">
        <v>10</v>
      </c>
      <c r="I75" s="2" t="s">
        <v>565</v>
      </c>
      <c r="J75" s="2" t="str">
        <f t="shared" si="7"/>
        <v>Hemolytic disease and other neonatal jaundice: 0</v>
      </c>
      <c r="K75" s="1" t="s">
        <v>2156</v>
      </c>
      <c r="L75" s="6">
        <v>805</v>
      </c>
      <c r="M75" s="204">
        <f>'collected data-merged'!R67/'collected data-merged'!Q67</f>
        <v>4</v>
      </c>
      <c r="N75" s="205">
        <f t="shared" si="8"/>
        <v>0</v>
      </c>
      <c r="O75" s="205">
        <f>'DCP3 causes and BoD CIV'!E67</f>
        <v>352.18459969189058</v>
      </c>
      <c r="P75" s="212">
        <f>N75/'DCP3 causes and BoD CIV'!E67</f>
        <v>0</v>
      </c>
      <c r="Q75" s="213">
        <f t="shared" ref="Q75:Q126" si="9">M75*P75</f>
        <v>0</v>
      </c>
      <c r="R75" s="2">
        <f>'collected data-merged'!N67</f>
        <v>29630.84533544154</v>
      </c>
      <c r="S75" s="2">
        <f t="shared" ref="S75:S126" si="10">R75/550</f>
        <v>53.874264246257347</v>
      </c>
      <c r="T75" s="206">
        <f>'collected data-merged'!T67</f>
        <v>0</v>
      </c>
      <c r="U75" s="219">
        <f t="shared" ref="U75:U126" si="11">T75/550</f>
        <v>0</v>
      </c>
      <c r="V75" s="2">
        <v>5</v>
      </c>
      <c r="W75" s="2">
        <v>3</v>
      </c>
    </row>
    <row r="76" spans="1:23" ht="28.8" hidden="1">
      <c r="A76" s="1" t="s">
        <v>2279</v>
      </c>
      <c r="B76" s="1" t="s">
        <v>2276</v>
      </c>
      <c r="C76" s="1">
        <v>1</v>
      </c>
      <c r="D76" s="1" t="str">
        <f>'collected data-merged'!D68</f>
        <v>FLH30</v>
      </c>
      <c r="E76" s="1" t="s">
        <v>790</v>
      </c>
      <c r="F76" s="205" t="str">
        <f>'DCP3 causes and BoD CIV'!B68</f>
        <v>FLH30</v>
      </c>
      <c r="G76" s="2" t="s">
        <v>138</v>
      </c>
      <c r="H76" s="2" t="s">
        <v>10</v>
      </c>
      <c r="I76" s="2" t="s">
        <v>2036</v>
      </c>
      <c r="J76" s="2" t="str">
        <f t="shared" si="7"/>
        <v>Substance use disorders; Poisonings; Venomous animal contact: 0.00158944522290553</v>
      </c>
      <c r="K76" s="1" t="s">
        <v>2327</v>
      </c>
      <c r="L76" s="6">
        <v>805</v>
      </c>
      <c r="M76" s="204">
        <f>'collected data-merged'!R68/'collected data-merged'!Q68</f>
        <v>1.5000000000000002</v>
      </c>
      <c r="N76" s="205">
        <f t="shared" si="8"/>
        <v>125.48249025454128</v>
      </c>
      <c r="O76" s="205">
        <f>'DCP3 causes and BoD CIV'!E68</f>
        <v>118421.0268270435</v>
      </c>
      <c r="P76" s="212">
        <f>N76/'DCP3 causes and BoD CIV'!E68</f>
        <v>1.0596301486036866E-3</v>
      </c>
      <c r="Q76" s="213">
        <f t="shared" si="9"/>
        <v>1.5894452229055303E-3</v>
      </c>
      <c r="R76" s="2">
        <f>'collected data-merged'!N68</f>
        <v>49687.659079330406</v>
      </c>
      <c r="S76" s="2">
        <f t="shared" si="10"/>
        <v>90.341198326055277</v>
      </c>
      <c r="T76" s="206">
        <f>'collected data-merged'!T68</f>
        <v>79367675.085997373</v>
      </c>
      <c r="U76" s="219">
        <f t="shared" si="11"/>
        <v>144304.86379272249</v>
      </c>
      <c r="V76" s="2">
        <v>5</v>
      </c>
      <c r="W76" s="2">
        <v>2</v>
      </c>
    </row>
    <row r="77" spans="1:23" ht="28.8" hidden="1">
      <c r="B77" s="1" t="s">
        <v>2276</v>
      </c>
      <c r="C77" s="1">
        <v>1</v>
      </c>
      <c r="D77" s="1" t="str">
        <f>'collected data-merged'!D69</f>
        <v>FLH31</v>
      </c>
      <c r="E77" s="1" t="s">
        <v>799</v>
      </c>
      <c r="F77" s="205" t="str">
        <f>'DCP3 causes and BoD CIV'!B69</f>
        <v>FLH31</v>
      </c>
      <c r="G77" s="2" t="s">
        <v>26</v>
      </c>
      <c r="H77" s="2" t="s">
        <v>10</v>
      </c>
      <c r="I77" s="2" t="s">
        <v>529</v>
      </c>
      <c r="J77" s="2" t="str">
        <f t="shared" si="7"/>
        <v>Appendicitis: 3.23221242182321</v>
      </c>
      <c r="K77" s="1" t="s">
        <v>2302</v>
      </c>
      <c r="L77" s="2">
        <v>5</v>
      </c>
      <c r="M77" s="204">
        <f>'collected data-merged'!R69/'collected data-merged'!Q69</f>
        <v>1.5000000000000002</v>
      </c>
      <c r="N77" s="205">
        <f t="shared" si="8"/>
        <v>21955.272813016985</v>
      </c>
      <c r="O77" s="205">
        <f>'DCP3 causes and BoD CIV'!E69</f>
        <v>10188.968087978839</v>
      </c>
      <c r="P77" s="212">
        <f>N77/'DCP3 causes and BoD CIV'!E69</f>
        <v>2.1548082812154727</v>
      </c>
      <c r="Q77" s="213">
        <f t="shared" si="9"/>
        <v>3.2322124218232098</v>
      </c>
      <c r="R77" s="2">
        <f>'collected data-merged'!N69</f>
        <v>142361.94161231248</v>
      </c>
      <c r="S77" s="2">
        <f t="shared" si="10"/>
        <v>258.83989384056815</v>
      </c>
      <c r="T77" s="206">
        <f>'collected data-merged'!T69</f>
        <v>86252857.479709595</v>
      </c>
      <c r="U77" s="219">
        <f t="shared" si="11"/>
        <v>156823.37723583562</v>
      </c>
      <c r="V77" s="2">
        <v>6</v>
      </c>
      <c r="W77" s="2">
        <v>1</v>
      </c>
    </row>
    <row r="78" spans="1:23" ht="28.8" hidden="1">
      <c r="B78" s="1" t="s">
        <v>2276</v>
      </c>
      <c r="C78" s="1">
        <v>1</v>
      </c>
      <c r="D78" s="1" t="str">
        <f>'collected data-merged'!D70</f>
        <v>FLH32</v>
      </c>
      <c r="E78" s="1" t="s">
        <v>800</v>
      </c>
      <c r="F78" s="205" t="str">
        <f>'DCP3 causes and BoD CIV'!B70</f>
        <v>FLH32</v>
      </c>
      <c r="G78" s="2" t="s">
        <v>33</v>
      </c>
      <c r="H78" s="2" t="s">
        <v>10</v>
      </c>
      <c r="I78" s="2" t="s">
        <v>1610</v>
      </c>
      <c r="J78" s="2" t="str">
        <f t="shared" si="7"/>
        <v>Maternal obstructed labor and uterine rupture: 0.0108801033753094</v>
      </c>
      <c r="K78" s="1" t="s">
        <v>2158</v>
      </c>
      <c r="L78" s="2">
        <v>322.2</v>
      </c>
      <c r="M78" s="204">
        <f>'collected data-merged'!R70/'collected data-merged'!Q70</f>
        <v>4</v>
      </c>
      <c r="N78" s="205">
        <f t="shared" si="8"/>
        <v>5344.9725477314641</v>
      </c>
      <c r="O78" s="205">
        <f>'DCP3 causes and BoD CIV'!E70</f>
        <v>1965044.765975663</v>
      </c>
      <c r="P78" s="212">
        <f>N78/'DCP3 causes and BoD CIV'!E70</f>
        <v>2.720025843827347E-3</v>
      </c>
      <c r="Q78" s="213">
        <f t="shared" si="9"/>
        <v>1.0880103375309388E-2</v>
      </c>
      <c r="R78" s="2">
        <f>'collected data-merged'!N70</f>
        <v>142361.94161231248</v>
      </c>
      <c r="S78" s="2">
        <f t="shared" si="10"/>
        <v>258.83989384056815</v>
      </c>
      <c r="T78" s="206">
        <f>'collected data-merged'!T70</f>
        <v>1353117978.8335612</v>
      </c>
      <c r="U78" s="219">
        <f t="shared" si="11"/>
        <v>2460214.5069701113</v>
      </c>
      <c r="V78" s="2">
        <v>6</v>
      </c>
      <c r="W78" s="2">
        <v>1</v>
      </c>
    </row>
    <row r="79" spans="1:23" ht="28.8" hidden="1">
      <c r="A79" s="1" t="s">
        <v>2279</v>
      </c>
      <c r="B79" s="1" t="s">
        <v>2276</v>
      </c>
      <c r="C79" s="1">
        <v>1</v>
      </c>
      <c r="D79" s="1" t="str">
        <f>'collected data-merged'!D71</f>
        <v>FLH33</v>
      </c>
      <c r="E79" s="1" t="s">
        <v>801</v>
      </c>
      <c r="F79" s="205" t="str">
        <f>'DCP3 causes and BoD CIV'!B71</f>
        <v>FLH33</v>
      </c>
      <c r="G79" s="2" t="s">
        <v>45</v>
      </c>
      <c r="H79" s="2" t="s">
        <v>10</v>
      </c>
      <c r="I79" s="2" t="s">
        <v>1486</v>
      </c>
      <c r="J79" s="2" t="str">
        <f t="shared" si="7"/>
        <v>Intracerebral hemorrhage: 0</v>
      </c>
      <c r="K79" s="1" t="s">
        <v>2159</v>
      </c>
      <c r="L79" s="6">
        <v>805</v>
      </c>
      <c r="M79" s="204">
        <f>'collected data-merged'!R71/'collected data-merged'!Q71</f>
        <v>1.5000000000000002</v>
      </c>
      <c r="N79" s="205">
        <f t="shared" si="8"/>
        <v>0</v>
      </c>
      <c r="O79" s="205">
        <f>'DCP3 causes and BoD CIV'!E71</f>
        <v>172408.1462847541</v>
      </c>
      <c r="P79" s="212">
        <f>N79/'DCP3 causes and BoD CIV'!E71</f>
        <v>0</v>
      </c>
      <c r="Q79" s="213">
        <f t="shared" si="9"/>
        <v>0</v>
      </c>
      <c r="R79" s="2">
        <f>'collected data-merged'!N71</f>
        <v>82502.699489546634</v>
      </c>
      <c r="S79" s="2">
        <f t="shared" si="10"/>
        <v>150.00490816281206</v>
      </c>
      <c r="T79" s="206">
        <f>'collected data-merged'!T71</f>
        <v>0</v>
      </c>
      <c r="U79" s="219">
        <f t="shared" si="11"/>
        <v>0</v>
      </c>
      <c r="V79" s="2">
        <v>5</v>
      </c>
      <c r="W79" s="2">
        <v>1</v>
      </c>
    </row>
    <row r="80" spans="1:23" ht="28.8" hidden="1">
      <c r="B80" s="1" t="s">
        <v>2276</v>
      </c>
      <c r="C80" s="1">
        <v>1</v>
      </c>
      <c r="D80" s="1" t="str">
        <f>'collected data-merged'!D72</f>
        <v>FLH34</v>
      </c>
      <c r="E80" s="1" t="s">
        <v>802</v>
      </c>
      <c r="F80" s="205" t="str">
        <f>'DCP3 causes and BoD CIV'!B72</f>
        <v>FLH34</v>
      </c>
      <c r="G80" s="2" t="s">
        <v>60</v>
      </c>
      <c r="H80" s="2" t="s">
        <v>10</v>
      </c>
      <c r="I80" s="2" t="s">
        <v>614</v>
      </c>
      <c r="J80" s="2" t="str">
        <f t="shared" si="7"/>
        <v>Colon and rectum cancer: 0.16496726753136</v>
      </c>
      <c r="K80" s="1" t="str">
        <f>J80</f>
        <v>Colon and rectum cancer: 0.16496726753136</v>
      </c>
      <c r="L80" s="2">
        <v>47.24</v>
      </c>
      <c r="M80" s="204">
        <f>'collected data-merged'!R72/'collected data-merged'!Q72</f>
        <v>1.5000000000000002</v>
      </c>
      <c r="N80" s="205">
        <f t="shared" si="8"/>
        <v>1444.9624042091998</v>
      </c>
      <c r="O80" s="205">
        <f>'DCP3 causes and BoD CIV'!E72</f>
        <v>13138.62827910255</v>
      </c>
      <c r="P80" s="212">
        <f>N80/'DCP3 causes and BoD CIV'!E72</f>
        <v>0.10997817835423987</v>
      </c>
      <c r="Q80" s="213">
        <f t="shared" si="9"/>
        <v>0.16496726753135982</v>
      </c>
      <c r="R80" s="2">
        <f>'collected data-merged'!N72</f>
        <v>142361.94161231248</v>
      </c>
      <c r="S80" s="2">
        <f t="shared" si="10"/>
        <v>258.83989384056815</v>
      </c>
      <c r="T80" s="206">
        <f>'collected data-merged'!T72</f>
        <v>53632875.980233483</v>
      </c>
      <c r="U80" s="219">
        <f t="shared" si="11"/>
        <v>97514.31996406088</v>
      </c>
      <c r="V80" s="2">
        <v>5</v>
      </c>
      <c r="W80" s="2">
        <v>3</v>
      </c>
    </row>
    <row r="81" spans="1:23" ht="28.8" hidden="1">
      <c r="A81" s="1" t="s">
        <v>2279</v>
      </c>
      <c r="B81" s="1" t="s">
        <v>2276</v>
      </c>
      <c r="C81" s="1">
        <v>1</v>
      </c>
      <c r="D81" s="1" t="str">
        <f>'collected data-merged'!D73</f>
        <v>FLH35</v>
      </c>
      <c r="E81" s="1" t="s">
        <v>803</v>
      </c>
      <c r="F81" s="205" t="str">
        <f>'DCP3 causes and BoD CIV'!B73</f>
        <v>FLH35</v>
      </c>
      <c r="G81" s="2" t="s">
        <v>98</v>
      </c>
      <c r="H81" s="2" t="s">
        <v>10</v>
      </c>
      <c r="I81" s="2" t="s">
        <v>533</v>
      </c>
      <c r="J81" s="2" t="str">
        <f t="shared" si="7"/>
        <v>Fire, heat, and hot substances: 0.147619403487532</v>
      </c>
      <c r="K81" s="1" t="str">
        <f>J81</f>
        <v>Fire, heat, and hot substances: 0.147619403487532</v>
      </c>
      <c r="L81" s="6">
        <v>805</v>
      </c>
      <c r="M81" s="204">
        <f>'collected data-merged'!R73/'collected data-merged'!Q73</f>
        <v>1.5000000000000002</v>
      </c>
      <c r="N81" s="205">
        <f t="shared" si="8"/>
        <v>5771.9973264333566</v>
      </c>
      <c r="O81" s="205">
        <f>'DCP3 causes and BoD CIV'!E73</f>
        <v>58650.799184277181</v>
      </c>
      <c r="P81" s="212">
        <f>N81/'DCP3 causes and BoD CIV'!E73</f>
        <v>9.8412935658354767E-2</v>
      </c>
      <c r="Q81" s="213">
        <f t="shared" si="9"/>
        <v>0.14761940348753216</v>
      </c>
      <c r="R81" s="2">
        <f>'collected data-merged'!N73</f>
        <v>82502.699489546634</v>
      </c>
      <c r="S81" s="2">
        <f t="shared" si="10"/>
        <v>150.00490816281206</v>
      </c>
      <c r="T81" s="206">
        <f>'collected data-merged'!T73</f>
        <v>3650788308.9690986</v>
      </c>
      <c r="U81" s="219">
        <f t="shared" si="11"/>
        <v>6637796.9253983609</v>
      </c>
      <c r="V81" s="2">
        <v>5</v>
      </c>
      <c r="W81" s="2">
        <v>1</v>
      </c>
    </row>
    <row r="82" spans="1:23" ht="57.6" hidden="1">
      <c r="B82" s="1" t="s">
        <v>2276</v>
      </c>
      <c r="C82" s="1">
        <v>1</v>
      </c>
      <c r="D82" s="1" t="str">
        <f>'collected data-merged'!D74</f>
        <v>FLH36</v>
      </c>
      <c r="E82" s="1" t="s">
        <v>804</v>
      </c>
      <c r="F82" s="205" t="str">
        <f>'DCP3 causes and BoD CIV'!B74</f>
        <v>FLH36</v>
      </c>
      <c r="G82" s="2" t="s">
        <v>46</v>
      </c>
      <c r="H82" s="2" t="s">
        <v>10</v>
      </c>
      <c r="I82" s="2" t="s">
        <v>2037</v>
      </c>
      <c r="J82" s="2" t="str">
        <f t="shared" si="7"/>
        <v>Transport injuries; Unintentional injuries; Exposure to forces of nature; Other unintentional injuries; Exposure to mechanical forces; Foreign body; Self-harm and interpersonal violence: 0.444642295617463</v>
      </c>
      <c r="K82" s="1" t="s">
        <v>2328</v>
      </c>
      <c r="L82" s="2">
        <v>69</v>
      </c>
      <c r="M82" s="204">
        <f>'collected data-merged'!R74/'collected data-merged'!Q74</f>
        <v>1.5000000000000002</v>
      </c>
      <c r="N82" s="205">
        <f t="shared" si="8"/>
        <v>307156.58675150247</v>
      </c>
      <c r="O82" s="205">
        <f>'DCP3 causes and BoD CIV'!E74</f>
        <v>1036192.2036396544</v>
      </c>
      <c r="P82" s="212">
        <f>N82/'DCP3 causes and BoD CIV'!E74</f>
        <v>0.2964281970783087</v>
      </c>
      <c r="Q82" s="213">
        <f t="shared" si="9"/>
        <v>0.4446422956174631</v>
      </c>
      <c r="R82" s="2">
        <f>'collected data-merged'!N74</f>
        <v>142361.94161231248</v>
      </c>
      <c r="S82" s="2">
        <f t="shared" si="10"/>
        <v>258.83989384056815</v>
      </c>
      <c r="T82" s="206">
        <f>'collected data-merged'!T74</f>
        <v>16652274953.170742</v>
      </c>
      <c r="U82" s="219">
        <f t="shared" si="11"/>
        <v>30276863.55121953</v>
      </c>
      <c r="V82" s="2">
        <v>5</v>
      </c>
      <c r="W82" s="2">
        <v>1</v>
      </c>
    </row>
    <row r="83" spans="1:23" ht="28.8" hidden="1">
      <c r="B83" s="1" t="s">
        <v>2276</v>
      </c>
      <c r="C83" s="1">
        <v>1</v>
      </c>
      <c r="D83" s="1" t="str">
        <f>'collected data-merged'!D75</f>
        <v>FLH37</v>
      </c>
      <c r="E83" s="1" t="s">
        <v>805</v>
      </c>
      <c r="F83" s="205" t="str">
        <f>'DCP3 causes and BoD CIV'!B75</f>
        <v>FLH37</v>
      </c>
      <c r="G83" s="2" t="s">
        <v>112</v>
      </c>
      <c r="H83" s="2" t="s">
        <v>10</v>
      </c>
      <c r="I83" s="2" t="s">
        <v>554</v>
      </c>
      <c r="J83" s="2" t="str">
        <f t="shared" si="7"/>
        <v>Inguinal, femoral, and abdominal hernia: 10.1497426249666</v>
      </c>
      <c r="K83" s="1" t="s">
        <v>2303</v>
      </c>
      <c r="L83" s="2">
        <v>33.33</v>
      </c>
      <c r="M83" s="204">
        <f>'collected data-merged'!R75/'collected data-merged'!Q75</f>
        <v>1.5000000000000002</v>
      </c>
      <c r="N83" s="205">
        <f t="shared" si="8"/>
        <v>55945.080276761342</v>
      </c>
      <c r="O83" s="205">
        <f>'DCP3 causes and BoD CIV'!E75</f>
        <v>8267.9555054646698</v>
      </c>
      <c r="P83" s="212">
        <f>N83/'DCP3 causes and BoD CIV'!E75</f>
        <v>6.7664950833110655</v>
      </c>
      <c r="Q83" s="213">
        <f t="shared" si="9"/>
        <v>10.149742624966599</v>
      </c>
      <c r="R83" s="2">
        <f>'collected data-merged'!N75</f>
        <v>142361.94161231248</v>
      </c>
      <c r="S83" s="2">
        <f t="shared" si="10"/>
        <v>258.83989384056815</v>
      </c>
      <c r="T83" s="206">
        <f>'collected data-merged'!T75</f>
        <v>1465081770.1335006</v>
      </c>
      <c r="U83" s="219">
        <f t="shared" si="11"/>
        <v>2663785.0366063649</v>
      </c>
      <c r="V83" s="2">
        <v>4</v>
      </c>
      <c r="W83" s="2">
        <v>1</v>
      </c>
    </row>
    <row r="84" spans="1:23" ht="28.8" hidden="1">
      <c r="B84" s="1" t="s">
        <v>2276</v>
      </c>
      <c r="C84" s="1">
        <v>1</v>
      </c>
      <c r="D84" s="1" t="str">
        <f>'collected data-merged'!D76</f>
        <v>FLH38</v>
      </c>
      <c r="E84" s="1" t="s">
        <v>806</v>
      </c>
      <c r="F84" s="205" t="str">
        <f>'DCP3 causes and BoD CIV'!B76</f>
        <v>FLH38</v>
      </c>
      <c r="G84" s="2" t="s">
        <v>115</v>
      </c>
      <c r="H84" s="2" t="s">
        <v>10</v>
      </c>
      <c r="I84" s="2" t="s">
        <v>556</v>
      </c>
      <c r="J84" s="2" t="str">
        <f t="shared" si="7"/>
        <v>Maternal hemorrhage: 0.0107795529708397</v>
      </c>
      <c r="K84" s="1" t="str">
        <f>J84</f>
        <v>Maternal hemorrhage: 0.0107795529708397</v>
      </c>
      <c r="L84" s="2">
        <v>322.2</v>
      </c>
      <c r="M84" s="204">
        <f>'collected data-merged'!R76/'collected data-merged'!Q76</f>
        <v>1.6</v>
      </c>
      <c r="N84" s="205">
        <f t="shared" si="8"/>
        <v>167.77939261431516</v>
      </c>
      <c r="O84" s="205">
        <f>'DCP3 causes and BoD CIV'!E76</f>
        <v>24903.354425651451</v>
      </c>
      <c r="P84" s="212">
        <f>N84/'DCP3 causes and BoD CIV'!E76</f>
        <v>6.7372206067747914E-3</v>
      </c>
      <c r="Q84" s="213">
        <f t="shared" si="9"/>
        <v>1.0779552970839667E-2</v>
      </c>
      <c r="R84" s="2">
        <f>'collected data-merged'!N76</f>
        <v>9662.4967955371158</v>
      </c>
      <c r="S84" s="2">
        <f t="shared" si="10"/>
        <v>17.568175991885663</v>
      </c>
      <c r="T84" s="206">
        <f>'collected data-merged'!T76</f>
        <v>42474551.664546847</v>
      </c>
      <c r="U84" s="219">
        <f t="shared" si="11"/>
        <v>77226.45757190336</v>
      </c>
      <c r="V84" s="2">
        <v>5</v>
      </c>
      <c r="W84" s="2">
        <v>1</v>
      </c>
    </row>
    <row r="85" spans="1:23" ht="57.6" hidden="1">
      <c r="B85" s="1" t="s">
        <v>2276</v>
      </c>
      <c r="C85" s="1">
        <v>1</v>
      </c>
      <c r="D85" s="1" t="str">
        <f>'collected data-merged'!D77</f>
        <v>FLH39</v>
      </c>
      <c r="E85" s="1" t="s">
        <v>807</v>
      </c>
      <c r="F85" s="205" t="str">
        <f>'DCP3 causes and BoD CIV'!B77</f>
        <v>FLH39</v>
      </c>
      <c r="G85" s="2" t="s">
        <v>144</v>
      </c>
      <c r="H85" s="2" t="s">
        <v>10</v>
      </c>
      <c r="I85" s="2" t="s">
        <v>2037</v>
      </c>
      <c r="J85" s="2" t="str">
        <f t="shared" si="7"/>
        <v>Transport injuries; Unintentional injuries; Exposure to forces of nature; Other unintentional injuries; Exposure to mechanical forces; Foreign body; Self-harm and interpersonal violence: 0.135753621228341</v>
      </c>
      <c r="K85" s="1" t="s">
        <v>2329</v>
      </c>
      <c r="L85" s="2">
        <v>226</v>
      </c>
      <c r="M85" s="204">
        <f>'collected data-merged'!R77/'collected data-merged'!Q77</f>
        <v>1.5000000000000002</v>
      </c>
      <c r="N85" s="205">
        <f t="shared" si="8"/>
        <v>93777.89595510473</v>
      </c>
      <c r="O85" s="205">
        <f>'DCP3 causes and BoD CIV'!E77</f>
        <v>1036192.2036396544</v>
      </c>
      <c r="P85" s="212">
        <f>N85/'DCP3 causes and BoD CIV'!E77</f>
        <v>9.0502414152226984E-2</v>
      </c>
      <c r="Q85" s="213">
        <f t="shared" si="9"/>
        <v>0.1357536212283405</v>
      </c>
      <c r="R85" s="2">
        <f>'collected data-merged'!N77</f>
        <v>142361.94161231248</v>
      </c>
      <c r="S85" s="2">
        <f t="shared" si="10"/>
        <v>258.83989384056815</v>
      </c>
      <c r="T85" s="206">
        <f>'collected data-merged'!T77</f>
        <v>16652274953.170742</v>
      </c>
      <c r="U85" s="219">
        <f t="shared" si="11"/>
        <v>30276863.55121953</v>
      </c>
      <c r="V85" s="2">
        <v>5</v>
      </c>
      <c r="W85" s="2">
        <v>1</v>
      </c>
    </row>
    <row r="86" spans="1:23" ht="28.8" hidden="1">
      <c r="B86" s="1" t="s">
        <v>2276</v>
      </c>
      <c r="C86" s="1">
        <v>1</v>
      </c>
      <c r="D86" s="1" t="str">
        <f>'collected data-merged'!D78</f>
        <v>FLH4</v>
      </c>
      <c r="E86" s="1" t="s">
        <v>627</v>
      </c>
      <c r="F86" s="205" t="str">
        <f>'DCP3 causes and BoD CIV'!B78</f>
        <v>FLH4</v>
      </c>
      <c r="G86" s="2" t="s">
        <v>88</v>
      </c>
      <c r="H86" s="2" t="s">
        <v>10</v>
      </c>
      <c r="I86" s="2" t="s">
        <v>527</v>
      </c>
      <c r="J86" s="2" t="str">
        <f t="shared" si="7"/>
        <v>Maternal hypertensive disorders: 0.613011978741419</v>
      </c>
      <c r="K86" s="1" t="s">
        <v>2163</v>
      </c>
      <c r="L86" s="2">
        <v>7</v>
      </c>
      <c r="M86" s="204">
        <f>'collected data-merged'!R78/'collected data-merged'!Q78</f>
        <v>16</v>
      </c>
      <c r="N86" s="205">
        <f t="shared" si="8"/>
        <v>603.72651280024854</v>
      </c>
      <c r="O86" s="205">
        <f>'DCP3 causes and BoD CIV'!E78</f>
        <v>15757.64347156192</v>
      </c>
      <c r="P86" s="212">
        <f>N86/'DCP3 causes and BoD CIV'!E78</f>
        <v>3.8313248671338694E-2</v>
      </c>
      <c r="Q86" s="213">
        <f t="shared" si="9"/>
        <v>0.61301197874141911</v>
      </c>
      <c r="R86" s="2">
        <f>'collected data-merged'!N78</f>
        <v>2537.0844699999998</v>
      </c>
      <c r="S86" s="2">
        <f t="shared" si="10"/>
        <v>4.6128808545454545</v>
      </c>
      <c r="T86" s="206">
        <f>'collected data-merged'!T78</f>
        <v>3320495.8204013673</v>
      </c>
      <c r="U86" s="219">
        <f t="shared" si="11"/>
        <v>6037.2651280024857</v>
      </c>
      <c r="V86" s="2">
        <v>5</v>
      </c>
      <c r="W86" s="2">
        <v>3</v>
      </c>
    </row>
    <row r="87" spans="1:23" ht="28.8" hidden="1">
      <c r="B87" s="1" t="s">
        <v>2276</v>
      </c>
      <c r="C87" s="1">
        <v>1</v>
      </c>
      <c r="D87" s="1" t="str">
        <f>'collected data-merged'!D79</f>
        <v>FLH40</v>
      </c>
      <c r="E87" s="1" t="s">
        <v>808</v>
      </c>
      <c r="F87" s="205" t="str">
        <f>'DCP3 causes and BoD CIV'!B79</f>
        <v>FLH40</v>
      </c>
      <c r="G87" s="2" t="s">
        <v>188</v>
      </c>
      <c r="H87" s="2" t="s">
        <v>10</v>
      </c>
      <c r="I87" s="2" t="s">
        <v>1654</v>
      </c>
      <c r="J87" s="2" t="str">
        <f t="shared" si="7"/>
        <v>Other musculoskeletal disorders: 1.28784197370913</v>
      </c>
      <c r="K87" s="1" t="s">
        <v>2126</v>
      </c>
      <c r="L87" s="2">
        <v>440.3</v>
      </c>
      <c r="M87" s="204">
        <f>'collected data-merged'!R79/'collected data-merged'!Q79</f>
        <v>1.5000000000000002</v>
      </c>
      <c r="N87" s="205">
        <f t="shared" si="8"/>
        <v>30268.788643114422</v>
      </c>
      <c r="O87" s="205">
        <f>'DCP3 causes and BoD CIV'!E79</f>
        <v>35255.243959711523</v>
      </c>
      <c r="P87" s="212">
        <f>N87/'DCP3 causes and BoD CIV'!E79</f>
        <v>0.85856131580608408</v>
      </c>
      <c r="Q87" s="213">
        <f t="shared" si="9"/>
        <v>1.2878419737091262</v>
      </c>
      <c r="R87" s="2">
        <f>'collected data-merged'!N79</f>
        <v>142361.94161231248</v>
      </c>
      <c r="S87" s="2">
        <f t="shared" si="10"/>
        <v>258.83989384056815</v>
      </c>
      <c r="T87" s="206">
        <f>'collected data-merged'!T79</f>
        <v>10471487431.085436</v>
      </c>
      <c r="U87" s="219">
        <f t="shared" si="11"/>
        <v>19039068.056518976</v>
      </c>
      <c r="V87" s="2">
        <v>5</v>
      </c>
      <c r="W87" s="2">
        <v>2</v>
      </c>
    </row>
    <row r="88" spans="1:23" ht="28.8" hidden="1">
      <c r="B88" s="1" t="s">
        <v>2276</v>
      </c>
      <c r="C88" s="1">
        <v>1</v>
      </c>
      <c r="D88" s="1" t="str">
        <f>'collected data-merged'!D80</f>
        <v>FLH41</v>
      </c>
      <c r="E88" s="1" t="s">
        <v>809</v>
      </c>
      <c r="F88" s="205" t="str">
        <f>'DCP3 causes and BoD CIV'!B80</f>
        <v>FLH41</v>
      </c>
      <c r="G88" s="2" t="s">
        <v>243</v>
      </c>
      <c r="H88" s="2" t="s">
        <v>10</v>
      </c>
      <c r="I88" s="2" t="s">
        <v>1654</v>
      </c>
      <c r="J88" s="2" t="str">
        <f t="shared" si="7"/>
        <v>Other musculoskeletal disorders: 1.28784197370913</v>
      </c>
      <c r="K88" s="1" t="s">
        <v>2126</v>
      </c>
      <c r="L88" s="2">
        <v>440.3</v>
      </c>
      <c r="M88" s="204">
        <f>'collected data-merged'!R80/'collected data-merged'!Q80</f>
        <v>1.5000000000000002</v>
      </c>
      <c r="N88" s="205">
        <f t="shared" si="8"/>
        <v>30268.788643114422</v>
      </c>
      <c r="O88" s="205">
        <f>'DCP3 causes and BoD CIV'!E80</f>
        <v>35255.243959711523</v>
      </c>
      <c r="P88" s="212">
        <f>N88/'DCP3 causes and BoD CIV'!E80</f>
        <v>0.85856131580608408</v>
      </c>
      <c r="Q88" s="213">
        <f t="shared" si="9"/>
        <v>1.2878419737091262</v>
      </c>
      <c r="R88" s="2">
        <f>'collected data-merged'!N80</f>
        <v>142361.94161231248</v>
      </c>
      <c r="S88" s="2">
        <f t="shared" si="10"/>
        <v>258.83989384056815</v>
      </c>
      <c r="T88" s="206">
        <f>'collected data-merged'!T80</f>
        <v>10471487431.085436</v>
      </c>
      <c r="U88" s="219">
        <f t="shared" si="11"/>
        <v>19039068.056518976</v>
      </c>
      <c r="V88" s="2">
        <v>5</v>
      </c>
      <c r="W88" s="2">
        <v>2</v>
      </c>
    </row>
    <row r="89" spans="1:23" ht="43.2" hidden="1">
      <c r="B89" s="1" t="s">
        <v>2276</v>
      </c>
      <c r="C89" s="1">
        <v>1</v>
      </c>
      <c r="D89" s="1" t="str">
        <f>'collected data-merged'!D81</f>
        <v>FLH42</v>
      </c>
      <c r="E89" s="1" t="s">
        <v>810</v>
      </c>
      <c r="F89" s="205" t="str">
        <f>'DCP3 causes and BoD CIV'!B81</f>
        <v>FLH42</v>
      </c>
      <c r="G89" s="2" t="s">
        <v>217</v>
      </c>
      <c r="H89" s="2" t="s">
        <v>10</v>
      </c>
      <c r="I89" s="2" t="s">
        <v>2038</v>
      </c>
      <c r="J89" s="2" t="str">
        <f t="shared" si="7"/>
        <v>Urinary tract infections; Urolithiasis; Benign prostatic hyperplasia; Other urinary diseases; Cervical cancer; Bladder cancer: 3.90917382708181</v>
      </c>
      <c r="K89" s="1" t="s">
        <v>2211</v>
      </c>
      <c r="L89" s="2">
        <v>47.24</v>
      </c>
      <c r="M89" s="204">
        <f>'collected data-merged'!R81/'collected data-merged'!Q81</f>
        <v>1.5000000000000002</v>
      </c>
      <c r="N89" s="205">
        <f t="shared" si="8"/>
        <v>154666.92591520603</v>
      </c>
      <c r="O89" s="205">
        <f>'DCP3 causes and BoD CIV'!E81</f>
        <v>59347.67783043228</v>
      </c>
      <c r="P89" s="212">
        <f>N89/'DCP3 causes and BoD CIV'!E81</f>
        <v>2.6061158847212043</v>
      </c>
      <c r="Q89" s="213">
        <f t="shared" si="9"/>
        <v>3.9091738270818071</v>
      </c>
      <c r="R89" s="2">
        <f>'collected data-merged'!N81</f>
        <v>142361.94161231248</v>
      </c>
      <c r="S89" s="2">
        <f t="shared" si="10"/>
        <v>258.83989384056815</v>
      </c>
      <c r="T89" s="206">
        <f>'collected data-merged'!T81</f>
        <v>5740794384.4698334</v>
      </c>
      <c r="U89" s="219">
        <f t="shared" si="11"/>
        <v>10437807.971763333</v>
      </c>
      <c r="V89" s="2">
        <v>4</v>
      </c>
      <c r="W89" s="2">
        <v>1</v>
      </c>
    </row>
    <row r="90" spans="1:23" ht="28.8" hidden="1">
      <c r="B90" s="1" t="s">
        <v>2276</v>
      </c>
      <c r="C90" s="1">
        <v>1</v>
      </c>
      <c r="D90" s="1" t="str">
        <f>'collected data-merged'!D82</f>
        <v>FLH43</v>
      </c>
      <c r="E90" s="1" t="s">
        <v>811</v>
      </c>
      <c r="F90" s="205" t="str">
        <f>'DCP3 causes and BoD CIV'!B82</f>
        <v>FLH43</v>
      </c>
      <c r="G90" s="2" t="s">
        <v>219</v>
      </c>
      <c r="H90" s="2" t="s">
        <v>10</v>
      </c>
      <c r="I90" s="2" t="s">
        <v>2039</v>
      </c>
      <c r="J90" s="2" t="str">
        <f t="shared" si="7"/>
        <v>Gallbladder and biliary diseases; Gallbladder and biliary tract cancer: 1.27607492437883</v>
      </c>
      <c r="K90" s="1" t="s">
        <v>2212</v>
      </c>
      <c r="L90" s="2">
        <v>47.24</v>
      </c>
      <c r="M90" s="204">
        <f>'collected data-merged'!R82/'collected data-merged'!Q82</f>
        <v>1.5000000000000002</v>
      </c>
      <c r="N90" s="205">
        <f t="shared" si="8"/>
        <v>9180.4160555147228</v>
      </c>
      <c r="O90" s="205">
        <f>'DCP3 causes and BoD CIV'!E82</f>
        <v>10791.391492921464</v>
      </c>
      <c r="P90" s="212">
        <f>N90/'DCP3 causes and BoD CIV'!E82</f>
        <v>0.8507166162525519</v>
      </c>
      <c r="Q90" s="213">
        <f t="shared" si="9"/>
        <v>1.2760749243788281</v>
      </c>
      <c r="R90" s="2">
        <f>'collected data-merged'!N82</f>
        <v>82502.699489546634</v>
      </c>
      <c r="S90" s="2">
        <f t="shared" si="10"/>
        <v>150.00490816281206</v>
      </c>
      <c r="T90" s="206">
        <f>'collected data-merged'!T82</f>
        <v>340750814.22054797</v>
      </c>
      <c r="U90" s="219">
        <f t="shared" si="11"/>
        <v>619546.93494645087</v>
      </c>
      <c r="V90" s="2">
        <v>4</v>
      </c>
      <c r="W90" s="2">
        <v>1</v>
      </c>
    </row>
    <row r="91" spans="1:23" ht="28.8" hidden="1">
      <c r="B91" s="1" t="s">
        <v>2276</v>
      </c>
      <c r="C91" s="1">
        <v>1</v>
      </c>
      <c r="D91" s="1" t="str">
        <f>'collected data-merged'!D83</f>
        <v>FLH44</v>
      </c>
      <c r="E91" s="1" t="s">
        <v>812</v>
      </c>
      <c r="F91" s="205" t="str">
        <f>'DCP3 causes and BoD CIV'!B83</f>
        <v>FLH44</v>
      </c>
      <c r="G91" s="2" t="s">
        <v>229</v>
      </c>
      <c r="H91" s="2" t="s">
        <v>10</v>
      </c>
      <c r="I91" s="2" t="s">
        <v>2040</v>
      </c>
      <c r="J91" s="2" t="str">
        <f t="shared" si="7"/>
        <v>Peptic ulcer disease; Other intestinal infectious diseases; Paralytic ileus and intestinal obstruction: 0.768235727717578</v>
      </c>
      <c r="K91" s="1" t="s">
        <v>2330</v>
      </c>
      <c r="L91" s="2">
        <v>47.24</v>
      </c>
      <c r="M91" s="204">
        <f>'collected data-merged'!R83/'collected data-merged'!Q83</f>
        <v>1.5000000000000002</v>
      </c>
      <c r="N91" s="205">
        <f t="shared" si="8"/>
        <v>35105.404545680416</v>
      </c>
      <c r="O91" s="205">
        <f>'DCP3 causes and BoD CIV'!E83</f>
        <v>68544.204491722136</v>
      </c>
      <c r="P91" s="212">
        <f>N91/'DCP3 causes and BoD CIV'!E83</f>
        <v>0.51215715181171861</v>
      </c>
      <c r="Q91" s="213">
        <f t="shared" si="9"/>
        <v>0.76823572771757809</v>
      </c>
      <c r="R91" s="2">
        <f>'collected data-merged'!N83</f>
        <v>142361.94161231248</v>
      </c>
      <c r="S91" s="2">
        <f t="shared" si="10"/>
        <v>258.83989384056815</v>
      </c>
      <c r="T91" s="206">
        <f>'collected data-merged'!T83</f>
        <v>1303012315.5798123</v>
      </c>
      <c r="U91" s="219">
        <f t="shared" si="11"/>
        <v>2369113.3010542043</v>
      </c>
      <c r="V91" s="2">
        <v>4</v>
      </c>
      <c r="W91" s="2">
        <v>1</v>
      </c>
    </row>
    <row r="92" spans="1:23" ht="28.8" hidden="1">
      <c r="B92" s="1" t="s">
        <v>2276</v>
      </c>
      <c r="C92" s="1">
        <v>1</v>
      </c>
      <c r="D92" s="1" t="str">
        <f>'collected data-merged'!D84</f>
        <v>FLH46</v>
      </c>
      <c r="E92" s="1" t="s">
        <v>814</v>
      </c>
      <c r="F92" s="205" t="str">
        <f>'DCP3 causes and BoD CIV'!B84</f>
        <v>FLH46</v>
      </c>
      <c r="G92" s="2" t="s">
        <v>37</v>
      </c>
      <c r="H92" s="2" t="s">
        <v>10</v>
      </c>
      <c r="I92" s="2" t="s">
        <v>2041</v>
      </c>
      <c r="J92" s="2" t="str">
        <f t="shared" si="7"/>
        <v>Fire, heat, and hot substances; Malignant skin melanoma; Decubitus ulcer: 3.27998485144948</v>
      </c>
      <c r="K92" s="1" t="s">
        <v>2331</v>
      </c>
      <c r="L92" s="2">
        <v>60</v>
      </c>
      <c r="M92" s="204">
        <f>'collected data-merged'!R84/'collected data-merged'!Q84</f>
        <v>1.5000000000000002</v>
      </c>
      <c r="N92" s="205">
        <f t="shared" si="8"/>
        <v>133627.70045146134</v>
      </c>
      <c r="O92" s="205">
        <f>'DCP3 causes and BoD CIV'!E84</f>
        <v>61110.511101480646</v>
      </c>
      <c r="P92" s="212">
        <f>N92/'DCP3 causes and BoD CIV'!E84</f>
        <v>2.1866565676329888</v>
      </c>
      <c r="Q92" s="213">
        <f t="shared" si="9"/>
        <v>3.2799848514494836</v>
      </c>
      <c r="R92" s="2">
        <f>'collected data-merged'!N84</f>
        <v>142361.94161231248</v>
      </c>
      <c r="S92" s="2">
        <f t="shared" si="10"/>
        <v>258.83989384056815</v>
      </c>
      <c r="T92" s="206">
        <f>'collected data-merged'!T84</f>
        <v>6299591592.7117491</v>
      </c>
      <c r="U92" s="219">
        <f t="shared" si="11"/>
        <v>11453802.895839544</v>
      </c>
      <c r="V92" s="2">
        <v>4</v>
      </c>
      <c r="W92" s="2">
        <v>1</v>
      </c>
    </row>
    <row r="93" spans="1:23" ht="28.8" hidden="1">
      <c r="A93" s="1" t="s">
        <v>2279</v>
      </c>
      <c r="B93" s="1" t="s">
        <v>2276</v>
      </c>
      <c r="C93" s="1">
        <v>1</v>
      </c>
      <c r="D93" s="1" t="str">
        <f>'collected data-merged'!D85</f>
        <v>FLH47</v>
      </c>
      <c r="E93" s="1" t="s">
        <v>815</v>
      </c>
      <c r="F93" s="205" t="str">
        <f>'DCP3 causes and BoD CIV'!B85</f>
        <v>FLH47</v>
      </c>
      <c r="G93" s="2" t="s">
        <v>593</v>
      </c>
      <c r="H93" s="2" t="s">
        <v>10</v>
      </c>
      <c r="I93" s="2" t="s">
        <v>594</v>
      </c>
      <c r="J93" s="2" t="str">
        <f t="shared" si="7"/>
        <v>Lymphatic filariasis: 3.93824965997193</v>
      </c>
      <c r="K93" s="1" t="s">
        <v>2202</v>
      </c>
      <c r="L93" s="6">
        <v>805</v>
      </c>
      <c r="M93" s="204">
        <f>'collected data-merged'!R85/'collected data-merged'!Q85</f>
        <v>1.5000000000000002</v>
      </c>
      <c r="N93" s="205">
        <f t="shared" si="8"/>
        <v>10482.536019608377</v>
      </c>
      <c r="O93" s="205">
        <f>'DCP3 causes and BoD CIV'!E85</f>
        <v>3992.5869071298662</v>
      </c>
      <c r="P93" s="212">
        <f>N93/'DCP3 causes and BoD CIV'!E85</f>
        <v>2.6254997733146181</v>
      </c>
      <c r="Q93" s="213">
        <f t="shared" si="9"/>
        <v>3.9382496599719277</v>
      </c>
      <c r="R93" s="2">
        <f>'collected data-merged'!N85</f>
        <v>142361.94161231248</v>
      </c>
      <c r="S93" s="2">
        <f t="shared" si="10"/>
        <v>258.83989384056815</v>
      </c>
      <c r="T93" s="206">
        <f>'collected data-merged'!T85</f>
        <v>6630204032.4022989</v>
      </c>
      <c r="U93" s="219">
        <f t="shared" si="11"/>
        <v>12054916.422549635</v>
      </c>
      <c r="V93" s="2">
        <v>4</v>
      </c>
      <c r="W93" s="2">
        <v>1</v>
      </c>
    </row>
    <row r="94" spans="1:23" ht="57.6" hidden="1">
      <c r="B94" s="1" t="s">
        <v>2276</v>
      </c>
      <c r="C94" s="1">
        <v>1</v>
      </c>
      <c r="D94" s="1" t="str">
        <f>'collected data-merged'!D86</f>
        <v>FLH48</v>
      </c>
      <c r="E94" s="1" t="s">
        <v>816</v>
      </c>
      <c r="F94" s="205" t="str">
        <f>'DCP3 causes and BoD CIV'!B86</f>
        <v>FLH48</v>
      </c>
      <c r="G94" s="2" t="s">
        <v>272</v>
      </c>
      <c r="H94" s="2" t="s">
        <v>10</v>
      </c>
      <c r="I94" s="2" t="s">
        <v>2037</v>
      </c>
      <c r="J94" s="2" t="str">
        <f t="shared" si="7"/>
        <v>Transport injuries; Unintentional injuries; Exposure to forces of nature; Other unintentional injuries; Exposure to mechanical forces; Foreign body; Self-harm and interpersonal violence: 0</v>
      </c>
      <c r="K94" s="1" t="s">
        <v>2215</v>
      </c>
      <c r="L94" s="2">
        <v>9</v>
      </c>
      <c r="M94" s="204">
        <f>'collected data-merged'!R86/'collected data-merged'!Q86</f>
        <v>1.5000000000000002</v>
      </c>
      <c r="N94" s="205">
        <f t="shared" si="8"/>
        <v>0</v>
      </c>
      <c r="O94" s="205">
        <f>'DCP3 causes and BoD CIV'!E86</f>
        <v>1036192.2036396544</v>
      </c>
      <c r="P94" s="212">
        <f>N94/'DCP3 causes and BoD CIV'!E86</f>
        <v>0</v>
      </c>
      <c r="Q94" s="213">
        <f t="shared" si="9"/>
        <v>0</v>
      </c>
      <c r="R94" s="2">
        <f>'collected data-merged'!N86</f>
        <v>142361.94161231248</v>
      </c>
      <c r="S94" s="2">
        <f t="shared" si="10"/>
        <v>258.83989384056815</v>
      </c>
      <c r="T94" s="206">
        <f>'collected data-merged'!T86</f>
        <v>0</v>
      </c>
      <c r="U94" s="219">
        <f t="shared" si="11"/>
        <v>0</v>
      </c>
      <c r="V94" s="2">
        <v>5</v>
      </c>
      <c r="W94" s="2">
        <v>1</v>
      </c>
    </row>
    <row r="95" spans="1:23" ht="57.6" hidden="1">
      <c r="B95" s="1" t="s">
        <v>2276</v>
      </c>
      <c r="C95" s="1">
        <v>1</v>
      </c>
      <c r="D95" s="1" t="str">
        <f>'collected data-merged'!D87</f>
        <v>FLH49</v>
      </c>
      <c r="E95" s="1" t="s">
        <v>817</v>
      </c>
      <c r="F95" s="205" t="str">
        <f>'DCP3 causes and BoD CIV'!B87</f>
        <v>FLH49</v>
      </c>
      <c r="G95" s="2" t="s">
        <v>273</v>
      </c>
      <c r="H95" s="2" t="s">
        <v>10</v>
      </c>
      <c r="I95" s="2" t="s">
        <v>2037</v>
      </c>
      <c r="J95" s="2" t="str">
        <f t="shared" si="7"/>
        <v>Transport injuries; Unintentional injuries; Exposure to forces of nature; Other unintentional injuries; Exposure to mechanical forces; Foreign body; Self-harm and interpersonal violence: 0</v>
      </c>
      <c r="K95" s="1" t="s">
        <v>2215</v>
      </c>
      <c r="L95" s="2">
        <v>18</v>
      </c>
      <c r="M95" s="204">
        <f>'collected data-merged'!R87/'collected data-merged'!Q87</f>
        <v>1.5000000000000002</v>
      </c>
      <c r="N95" s="205">
        <f t="shared" si="8"/>
        <v>0</v>
      </c>
      <c r="O95" s="205">
        <f>'DCP3 causes and BoD CIV'!E87</f>
        <v>1036192.2036396544</v>
      </c>
      <c r="P95" s="212">
        <f>N95/'DCP3 causes and BoD CIV'!E87</f>
        <v>0</v>
      </c>
      <c r="Q95" s="213">
        <f t="shared" si="9"/>
        <v>0</v>
      </c>
      <c r="R95" s="2">
        <f>'collected data-merged'!N87</f>
        <v>142361.94161231248</v>
      </c>
      <c r="S95" s="2">
        <f t="shared" si="10"/>
        <v>258.83989384056815</v>
      </c>
      <c r="T95" s="206">
        <f>'collected data-merged'!T87</f>
        <v>0</v>
      </c>
      <c r="U95" s="219">
        <f t="shared" si="11"/>
        <v>0</v>
      </c>
      <c r="V95" s="2">
        <v>5</v>
      </c>
      <c r="W95" s="2">
        <v>1</v>
      </c>
    </row>
    <row r="96" spans="1:23" ht="28.8" hidden="1">
      <c r="B96" s="1" t="s">
        <v>2276</v>
      </c>
      <c r="C96" s="1">
        <v>1</v>
      </c>
      <c r="D96" s="1" t="str">
        <f>'collected data-merged'!D88</f>
        <v>FLH5</v>
      </c>
      <c r="E96" s="1" t="s">
        <v>628</v>
      </c>
      <c r="F96" s="205" t="str">
        <f>'DCP3 causes and BoD CIV'!B88</f>
        <v>FLH5</v>
      </c>
      <c r="G96" s="2" t="s">
        <v>174</v>
      </c>
      <c r="H96" s="2" t="s">
        <v>10</v>
      </c>
      <c r="I96" s="2" t="s">
        <v>431</v>
      </c>
      <c r="J96" s="2" t="str">
        <f t="shared" si="7"/>
        <v>Maternal sepsis and other maternal infections: 0.382550123196961</v>
      </c>
      <c r="K96" s="1" t="s">
        <v>2164</v>
      </c>
      <c r="L96" s="2">
        <v>190</v>
      </c>
      <c r="M96" s="204">
        <f>'collected data-merged'!R88/'collected data-merged'!Q88</f>
        <v>3.3333333333333335</v>
      </c>
      <c r="N96" s="205">
        <f t="shared" si="8"/>
        <v>1957.8197739859459</v>
      </c>
      <c r="O96" s="205">
        <f>'DCP3 causes and BoD CIV'!E88</f>
        <v>17059.374752642419</v>
      </c>
      <c r="P96" s="212">
        <f>N96/'DCP3 causes and BoD CIV'!E88</f>
        <v>0.11476503695908835</v>
      </c>
      <c r="Q96" s="213">
        <f t="shared" si="9"/>
        <v>0.38255012319696119</v>
      </c>
      <c r="R96" s="2">
        <f>'collected data-merged'!N88</f>
        <v>40396.992819999999</v>
      </c>
      <c r="S96" s="2">
        <f t="shared" si="10"/>
        <v>73.44907785454545</v>
      </c>
      <c r="T96" s="206">
        <f>'collected data-merged'!T88</f>
        <v>292274523.40218765</v>
      </c>
      <c r="U96" s="219">
        <f t="shared" si="11"/>
        <v>531408.2243676139</v>
      </c>
      <c r="V96" s="2">
        <v>4</v>
      </c>
      <c r="W96" s="2">
        <v>1</v>
      </c>
    </row>
    <row r="97" spans="1:23" ht="72" hidden="1">
      <c r="A97" s="1" t="s">
        <v>2279</v>
      </c>
      <c r="B97" s="1" t="s">
        <v>2276</v>
      </c>
      <c r="C97" s="1">
        <v>1</v>
      </c>
      <c r="D97" s="1" t="str">
        <f>'collected data-merged'!D89</f>
        <v>FLH50</v>
      </c>
      <c r="E97" s="1" t="s">
        <v>818</v>
      </c>
      <c r="F97" s="205" t="str">
        <f>'DCP3 causes and BoD CIV'!B89</f>
        <v>FLH50</v>
      </c>
      <c r="G97" s="2" t="s">
        <v>284</v>
      </c>
      <c r="H97" s="2" t="s">
        <v>10</v>
      </c>
      <c r="I97" s="2" t="s">
        <v>2042</v>
      </c>
      <c r="J97" s="2" t="str">
        <f t="shared" si="7"/>
        <v>Tracheal, bronchus, and lung cancer; Transport injuries; Unintentional injuries; Exposure to forces of nature; Other unintentional injuries; Exposure to mechanical forces; Foreign body; Self-harm and interpersonal violence: 0.00291878957644753</v>
      </c>
      <c r="K97" s="1" t="s">
        <v>2216</v>
      </c>
      <c r="L97" s="6">
        <v>805</v>
      </c>
      <c r="M97" s="204">
        <f>'collected data-merged'!R89/'collected data-merged'!Q89</f>
        <v>1.5000000000000002</v>
      </c>
      <c r="N97" s="205">
        <f t="shared" si="8"/>
        <v>29.831692783044662</v>
      </c>
      <c r="O97" s="205">
        <f>'DCP3 causes and BoD CIV'!E89</f>
        <v>15330.854795305029</v>
      </c>
      <c r="P97" s="212">
        <f>N97/'DCP3 causes and BoD CIV'!E89</f>
        <v>1.9458597176316885E-3</v>
      </c>
      <c r="Q97" s="213">
        <f t="shared" si="9"/>
        <v>2.9187895764475331E-3</v>
      </c>
      <c r="R97" s="2">
        <f>'collected data-merged'!N89</f>
        <v>142361.94161231248</v>
      </c>
      <c r="S97" s="2">
        <f t="shared" si="10"/>
        <v>258.83989384056815</v>
      </c>
      <c r="T97" s="206">
        <f>'collected data-merged'!T89</f>
        <v>18868545.685275752</v>
      </c>
      <c r="U97" s="219">
        <f t="shared" si="11"/>
        <v>34306.446700501365</v>
      </c>
      <c r="V97" s="2">
        <v>5</v>
      </c>
      <c r="W97" s="2">
        <v>1</v>
      </c>
    </row>
    <row r="98" spans="1:23" ht="28.8" hidden="1">
      <c r="B98" s="1" t="s">
        <v>2276</v>
      </c>
      <c r="C98" s="1">
        <v>1</v>
      </c>
      <c r="D98" s="1" t="str">
        <f>'collected data-merged'!D90</f>
        <v>FLH51</v>
      </c>
      <c r="E98" s="1" t="s">
        <v>791</v>
      </c>
      <c r="F98" s="205" t="str">
        <f>'DCP3 causes and BoD CIV'!B90</f>
        <v>FLH51</v>
      </c>
      <c r="G98" s="2" t="s">
        <v>530</v>
      </c>
      <c r="H98" s="2" t="s">
        <v>10</v>
      </c>
      <c r="I98" s="2" t="s">
        <v>2043</v>
      </c>
      <c r="J98" s="2" t="str">
        <f t="shared" si="7"/>
        <v>Age-related and other hearing loss; Blindness and vision impairment: 0.00575447883417294</v>
      </c>
      <c r="K98" s="1" t="s">
        <v>2217</v>
      </c>
      <c r="L98" s="2">
        <v>7163</v>
      </c>
      <c r="M98" s="204">
        <f>'collected data-merged'!R90/'collected data-merged'!Q90</f>
        <v>1.5000000000000002</v>
      </c>
      <c r="N98" s="205">
        <f t="shared" si="8"/>
        <v>584.55098060587591</v>
      </c>
      <c r="O98" s="205">
        <f>'DCP3 causes and BoD CIV'!E90</f>
        <v>152372.87270947715</v>
      </c>
      <c r="P98" s="212">
        <f>N98/'DCP3 causes and BoD CIV'!E90</f>
        <v>3.8363192227819603E-3</v>
      </c>
      <c r="Q98" s="213">
        <f t="shared" si="9"/>
        <v>5.7544788341729412E-3</v>
      </c>
      <c r="R98" s="2">
        <f>'collected data-merged'!N90</f>
        <v>4638.5098968183147</v>
      </c>
      <c r="S98" s="2">
        <f t="shared" si="10"/>
        <v>8.4336543578514807</v>
      </c>
      <c r="T98" s="206">
        <f>'collected data-merged'!T90</f>
        <v>3289894672.4913416</v>
      </c>
      <c r="U98" s="219">
        <f t="shared" si="11"/>
        <v>5981626.6772569846</v>
      </c>
      <c r="V98" s="2">
        <v>1</v>
      </c>
      <c r="W98" s="2">
        <v>1</v>
      </c>
    </row>
    <row r="99" spans="1:23" ht="28.8" hidden="1">
      <c r="A99" s="1" t="s">
        <v>2279</v>
      </c>
      <c r="B99" s="1" t="s">
        <v>2276</v>
      </c>
      <c r="C99" s="1">
        <v>1</v>
      </c>
      <c r="D99" s="1" t="str">
        <f>'collected data-merged'!D91</f>
        <v>FLH52</v>
      </c>
      <c r="E99" s="1" t="s">
        <v>792</v>
      </c>
      <c r="F99" s="205" t="str">
        <f>'DCP3 causes and BoD CIV'!B91</f>
        <v>FLH52</v>
      </c>
      <c r="G99" s="2" t="s">
        <v>64</v>
      </c>
      <c r="H99" s="2" t="s">
        <v>10</v>
      </c>
      <c r="I99" s="2" t="s">
        <v>2044</v>
      </c>
      <c r="J99" s="2" t="str">
        <f t="shared" si="7"/>
        <v>Fire, heat, and hot substances; Lymphatic filariasis: 0.0159489372626769</v>
      </c>
      <c r="K99" s="1" t="s">
        <v>2304</v>
      </c>
      <c r="L99" s="6">
        <v>805</v>
      </c>
      <c r="M99" s="204">
        <f>'collected data-merged'!R91/'collected data-merged'!Q91</f>
        <v>1.5000000000000002</v>
      </c>
      <c r="N99" s="205">
        <f t="shared" si="8"/>
        <v>666.06362312899807</v>
      </c>
      <c r="O99" s="205">
        <f>'DCP3 causes and BoD CIV'!E91</f>
        <v>62643.386091407046</v>
      </c>
      <c r="P99" s="212">
        <f>N99/'DCP3 causes and BoD CIV'!E91</f>
        <v>1.0632624841784594E-2</v>
      </c>
      <c r="Q99" s="213">
        <f t="shared" si="9"/>
        <v>1.5948937262676894E-2</v>
      </c>
      <c r="R99" s="2">
        <f>'collected data-merged'!N91</f>
        <v>4638.5098968183147</v>
      </c>
      <c r="S99" s="2">
        <f t="shared" si="10"/>
        <v>8.4336543578514807</v>
      </c>
      <c r="T99" s="206">
        <f>'collected data-merged'!T91</f>
        <v>421285241.62909132</v>
      </c>
      <c r="U99" s="219">
        <f t="shared" si="11"/>
        <v>765973.16659834783</v>
      </c>
      <c r="V99" s="2">
        <v>1</v>
      </c>
      <c r="W99" s="2">
        <v>1</v>
      </c>
    </row>
    <row r="100" spans="1:23" ht="57.6" hidden="1">
      <c r="A100" s="1" t="s">
        <v>2280</v>
      </c>
      <c r="B100" s="1" t="s">
        <v>2276</v>
      </c>
      <c r="C100" s="1">
        <v>0</v>
      </c>
      <c r="D100" s="1" t="str">
        <f>'collected data-merged'!D92</f>
        <v>FLH54</v>
      </c>
      <c r="E100" s="1" t="s">
        <v>794</v>
      </c>
      <c r="F100" s="205" t="str">
        <f>'DCP3 causes and BoD CIV'!B92</f>
        <v>FLH54</v>
      </c>
      <c r="G100" s="2" t="s">
        <v>548</v>
      </c>
      <c r="H100" s="2" t="s">
        <v>10</v>
      </c>
      <c r="I100" s="2" t="s">
        <v>2037</v>
      </c>
      <c r="J100" s="1" t="str">
        <f t="shared" si="7"/>
        <v>Transport injuries; Unintentional injuries; Exposure to forces of nature; Other unintentional injuries; Exposure to mechanical forces; Foreign body; Self-harm and interpersonal violence: 0.000571881742195563</v>
      </c>
      <c r="K100" s="1" t="e">
        <v>#DIV/0!</v>
      </c>
      <c r="L100" s="2">
        <v>805</v>
      </c>
      <c r="M100" s="204">
        <f>'collected data-merged'!R92/'collected data-merged'!Q92</f>
        <v>1.5000000000000002</v>
      </c>
      <c r="N100" s="205">
        <f t="shared" si="8"/>
        <v>395.05293511126985</v>
      </c>
      <c r="O100" s="205">
        <f>'DCP3 causes and BoD CIV'!E92</f>
        <v>1036192.2036396544</v>
      </c>
      <c r="P100" s="212">
        <f>N100/'DCP3 causes and BoD CIV'!E92</f>
        <v>3.8125449479704175E-4</v>
      </c>
      <c r="Q100" s="213">
        <f t="shared" si="9"/>
        <v>5.7188174219556271E-4</v>
      </c>
      <c r="R100" s="2">
        <f>'collected data-merged'!N92</f>
        <v>4638.5098968183147</v>
      </c>
      <c r="S100" s="2">
        <f t="shared" si="10"/>
        <v>8.4336543578514807</v>
      </c>
      <c r="T100" s="206">
        <f>'collected data-merged'!T92</f>
        <v>249870981.45787817</v>
      </c>
      <c r="U100" s="219">
        <f t="shared" si="11"/>
        <v>454310.87537796033</v>
      </c>
      <c r="V100" s="2">
        <v>1</v>
      </c>
      <c r="W100" s="2">
        <v>1</v>
      </c>
    </row>
    <row r="101" spans="1:23" ht="86.4" hidden="1">
      <c r="A101" s="1" t="s">
        <v>2279</v>
      </c>
      <c r="B101" s="1" t="s">
        <v>2276</v>
      </c>
      <c r="C101" s="1">
        <v>0</v>
      </c>
      <c r="D101" s="1" t="str">
        <f>'collected data-merged'!D93</f>
        <v>FLH56</v>
      </c>
      <c r="E101" s="1" t="s">
        <v>796</v>
      </c>
      <c r="F101" s="205" t="str">
        <f>'DCP3 causes and BoD CIV'!B93</f>
        <v>FLH55</v>
      </c>
      <c r="G101" s="2" t="s">
        <v>182</v>
      </c>
      <c r="H101" s="2" t="s">
        <v>10</v>
      </c>
      <c r="I101" s="2" t="s">
        <v>2045</v>
      </c>
      <c r="J101" s="1" t="e">
        <f t="shared" si="7"/>
        <v>#DIV/0!</v>
      </c>
      <c r="K101" s="1" t="e">
        <v>#DIV/0!</v>
      </c>
      <c r="L101" s="6">
        <v>805</v>
      </c>
      <c r="M101" s="204">
        <f>'collected data-merged'!R93/'collected data-merged'!Q93</f>
        <v>1.5000000000000002</v>
      </c>
      <c r="N101" s="205">
        <f t="shared" si="8"/>
        <v>1954.2772890916935</v>
      </c>
      <c r="O101" s="205">
        <f>'DCP3 causes and BoD CIV'!E93</f>
        <v>0</v>
      </c>
      <c r="P101" s="212" t="e">
        <f>N101/'DCP3 causes and BoD CIV'!E93</f>
        <v>#DIV/0!</v>
      </c>
      <c r="Q101" s="213" t="e">
        <f t="shared" si="9"/>
        <v>#DIV/0!</v>
      </c>
      <c r="R101" s="2">
        <f>'collected data-merged'!N93</f>
        <v>4638.5098968183147</v>
      </c>
      <c r="S101" s="2">
        <f t="shared" si="10"/>
        <v>8.4336543578514807</v>
      </c>
      <c r="T101" s="206">
        <f>'collected data-merged'!T93</f>
        <v>1236080385.3504963</v>
      </c>
      <c r="U101" s="219">
        <f t="shared" si="11"/>
        <v>2247418.8824554477</v>
      </c>
      <c r="V101" s="2">
        <v>2</v>
      </c>
      <c r="W101" s="2">
        <v>1</v>
      </c>
    </row>
    <row r="102" spans="1:23" ht="28.8" hidden="1">
      <c r="A102" s="1" t="s">
        <v>2279</v>
      </c>
      <c r="B102" s="1" t="s">
        <v>2276</v>
      </c>
      <c r="C102" s="1">
        <v>1</v>
      </c>
      <c r="D102" s="1" t="str">
        <f>'collected data-merged'!D94</f>
        <v>FLH6</v>
      </c>
      <c r="E102" s="1" t="s">
        <v>629</v>
      </c>
      <c r="F102" s="205" t="str">
        <f>'DCP3 causes and BoD CIV'!B94</f>
        <v>FLH56</v>
      </c>
      <c r="G102" s="2" t="s">
        <v>158</v>
      </c>
      <c r="H102" s="2" t="s">
        <v>10</v>
      </c>
      <c r="I102" s="2" t="s">
        <v>520</v>
      </c>
      <c r="J102" s="2" t="str">
        <f t="shared" si="7"/>
        <v>Neonatal sepsis and other neonatal infections: 0</v>
      </c>
      <c r="K102" s="1" t="s">
        <v>2165</v>
      </c>
      <c r="L102" s="6">
        <v>805</v>
      </c>
      <c r="M102" s="204">
        <f>'collected data-merged'!R94/'collected data-merged'!Q94</f>
        <v>4</v>
      </c>
      <c r="N102" s="205">
        <f t="shared" si="8"/>
        <v>0</v>
      </c>
      <c r="O102" s="205">
        <f>'DCP3 causes and BoD CIV'!E94</f>
        <v>928057.38459384197</v>
      </c>
      <c r="P102" s="212">
        <f>N102/'DCP3 causes and BoD CIV'!E94</f>
        <v>0</v>
      </c>
      <c r="Q102" s="213">
        <f t="shared" si="9"/>
        <v>0</v>
      </c>
      <c r="R102" s="2">
        <f>'collected data-merged'!N94</f>
        <v>0</v>
      </c>
      <c r="S102" s="2">
        <f t="shared" si="10"/>
        <v>0</v>
      </c>
      <c r="T102" s="206">
        <f>'collected data-merged'!T94</f>
        <v>0</v>
      </c>
      <c r="U102" s="219">
        <f t="shared" si="11"/>
        <v>0</v>
      </c>
      <c r="V102" s="2">
        <v>3</v>
      </c>
      <c r="W102" s="2">
        <v>3</v>
      </c>
    </row>
    <row r="103" spans="1:23" ht="28.8" hidden="1">
      <c r="B103" s="1" t="s">
        <v>2276</v>
      </c>
      <c r="C103" s="1">
        <v>1</v>
      </c>
      <c r="D103" s="1" t="str">
        <f>'collected data-merged'!D95</f>
        <v>FLH7</v>
      </c>
      <c r="E103" s="1" t="s">
        <v>630</v>
      </c>
      <c r="F103" s="205" t="str">
        <f>'DCP3 causes and BoD CIV'!B95</f>
        <v>FLH7</v>
      </c>
      <c r="G103" s="2" t="s">
        <v>198</v>
      </c>
      <c r="H103" s="2" t="s">
        <v>10</v>
      </c>
      <c r="I103" s="2" t="s">
        <v>1612</v>
      </c>
      <c r="J103" s="2" t="str">
        <f t="shared" si="7"/>
        <v>Neonatal preterm birth: 0.00370172509822043</v>
      </c>
      <c r="K103" s="1" t="s">
        <v>2166</v>
      </c>
      <c r="L103" s="2">
        <v>3338</v>
      </c>
      <c r="M103" s="204">
        <f>'collected data-merged'!R95/'collected data-merged'!Q95</f>
        <v>4</v>
      </c>
      <c r="N103" s="205">
        <f t="shared" si="8"/>
        <v>666.15658744843211</v>
      </c>
      <c r="O103" s="205">
        <f>'DCP3 causes and BoD CIV'!E95</f>
        <v>719833.6664909895</v>
      </c>
      <c r="P103" s="212">
        <f>N103/'DCP3 causes and BoD CIV'!E95</f>
        <v>9.2543127455510684E-4</v>
      </c>
      <c r="Q103" s="213">
        <f t="shared" si="9"/>
        <v>3.7017250982204273E-3</v>
      </c>
      <c r="R103" s="2">
        <f>'collected data-merged'!N95</f>
        <v>23773.659299385239</v>
      </c>
      <c r="S103" s="2">
        <f t="shared" si="10"/>
        <v>43.224835089791341</v>
      </c>
      <c r="T103" s="206">
        <f>'collected data-merged'!T95</f>
        <v>1747138398.4236808</v>
      </c>
      <c r="U103" s="219">
        <f t="shared" si="11"/>
        <v>3176615.2698612376</v>
      </c>
      <c r="V103" s="2">
        <v>4</v>
      </c>
      <c r="W103" s="2">
        <v>3</v>
      </c>
    </row>
    <row r="104" spans="1:23" ht="28.8" hidden="1">
      <c r="B104" s="1" t="s">
        <v>2276</v>
      </c>
      <c r="C104" s="1">
        <v>1</v>
      </c>
      <c r="D104" s="1" t="str">
        <f>'collected data-merged'!D96</f>
        <v>FLH8</v>
      </c>
      <c r="E104" s="1" t="s">
        <v>647</v>
      </c>
      <c r="F104" s="205" t="str">
        <f>'DCP3 causes and BoD CIV'!B96</f>
        <v>FLH8</v>
      </c>
      <c r="G104" s="2" t="s">
        <v>149</v>
      </c>
      <c r="H104" s="2" t="s">
        <v>10</v>
      </c>
      <c r="I104" s="2" t="s">
        <v>2010</v>
      </c>
      <c r="J104" s="2" t="str">
        <f t="shared" si="7"/>
        <v>Maternal and neonatal disorders: 0.00464711804305344</v>
      </c>
      <c r="K104" s="1" t="s">
        <v>2219</v>
      </c>
      <c r="L104" s="2">
        <v>2040</v>
      </c>
      <c r="M104" s="204">
        <f>'collected data-merged'!R96/'collected data-merged'!Q96</f>
        <v>4.4444444444444446</v>
      </c>
      <c r="N104" s="205">
        <f t="shared" si="8"/>
        <v>2054.6538721589754</v>
      </c>
      <c r="O104" s="205">
        <f>'DCP3 causes and BoD CIV'!E96</f>
        <v>1965044.765975663</v>
      </c>
      <c r="P104" s="212">
        <f>N104/'DCP3 causes and BoD CIV'!E96</f>
        <v>1.0456015596870237E-3</v>
      </c>
      <c r="Q104" s="213">
        <f t="shared" si="9"/>
        <v>4.6471180430534388E-3</v>
      </c>
      <c r="R104" s="2">
        <f>'collected data-merged'!N96</f>
        <v>214278.52024625408</v>
      </c>
      <c r="S104" s="2">
        <f t="shared" si="10"/>
        <v>389.5973095386438</v>
      </c>
      <c r="T104" s="206">
        <f>'collected data-merged'!T96</f>
        <v>3293316635.0891013</v>
      </c>
      <c r="U104" s="219">
        <f t="shared" si="11"/>
        <v>5987848.4274347294</v>
      </c>
      <c r="V104" s="2">
        <v>6</v>
      </c>
      <c r="W104" s="2">
        <v>1</v>
      </c>
    </row>
    <row r="105" spans="1:23" ht="28.8" hidden="1">
      <c r="B105" s="1" t="s">
        <v>2276</v>
      </c>
      <c r="C105" s="1">
        <v>1</v>
      </c>
      <c r="D105" s="1" t="str">
        <f>'collected data-merged'!D97</f>
        <v>FLH9</v>
      </c>
      <c r="E105" s="1" t="s">
        <v>648</v>
      </c>
      <c r="F105" s="205" t="str">
        <f>'DCP3 causes and BoD CIV'!B97</f>
        <v>FLH9</v>
      </c>
      <c r="G105" s="2" t="s">
        <v>254</v>
      </c>
      <c r="H105" s="2" t="s">
        <v>10</v>
      </c>
      <c r="I105" s="2" t="s">
        <v>1611</v>
      </c>
      <c r="J105" s="2" t="str">
        <f t="shared" si="7"/>
        <v>Ectopic pregnancy: 0.0380948526617345</v>
      </c>
      <c r="K105" s="1" t="s">
        <v>2167</v>
      </c>
      <c r="L105" s="2">
        <v>322.2</v>
      </c>
      <c r="M105" s="204">
        <f>'collected data-merged'!R97/'collected data-merged'!Q97</f>
        <v>4</v>
      </c>
      <c r="N105" s="205">
        <f t="shared" si="8"/>
        <v>133.61401008753458</v>
      </c>
      <c r="O105" s="205">
        <f>'DCP3 causes and BoD CIV'!E97</f>
        <v>14029.613005617121</v>
      </c>
      <c r="P105" s="212">
        <f>N105/'DCP3 causes and BoD CIV'!E97</f>
        <v>9.5237131654336248E-3</v>
      </c>
      <c r="Q105" s="213">
        <f t="shared" si="9"/>
        <v>3.8094852661734499E-2</v>
      </c>
      <c r="R105" s="2">
        <f>'collected data-merged'!N97</f>
        <v>28165.879489999999</v>
      </c>
      <c r="S105" s="2">
        <f t="shared" si="10"/>
        <v>51.210689981818177</v>
      </c>
      <c r="T105" s="206">
        <f>'collected data-merged'!T97</f>
        <v>33825341.039445721</v>
      </c>
      <c r="U105" s="219">
        <f t="shared" si="11"/>
        <v>61500.620071719495</v>
      </c>
      <c r="V105" s="2">
        <v>6</v>
      </c>
      <c r="W105" s="2">
        <v>1</v>
      </c>
    </row>
    <row r="106" spans="1:23" hidden="1">
      <c r="B106" s="1" t="s">
        <v>2276</v>
      </c>
      <c r="C106" s="1">
        <v>1</v>
      </c>
      <c r="D106" s="1" t="str">
        <f>'collected data-merged'!D98</f>
        <v>HC1</v>
      </c>
      <c r="E106" s="1" t="s">
        <v>631</v>
      </c>
      <c r="F106" s="205" t="str">
        <f>'DCP3 causes and BoD CIV'!B98</f>
        <v>HC1</v>
      </c>
      <c r="G106" s="2" t="s">
        <v>281</v>
      </c>
      <c r="H106" s="2" t="s">
        <v>29</v>
      </c>
      <c r="I106" s="2" t="s">
        <v>520</v>
      </c>
      <c r="J106" s="2" t="str">
        <f t="shared" ref="J106:J126" si="12">CONCATENATE(I106, ":", " ", Q106)</f>
        <v>Neonatal sepsis and other neonatal infections: 0.012017941612418</v>
      </c>
      <c r="K106" s="1" t="str">
        <f>J106</f>
        <v>Neonatal sepsis and other neonatal infections: 0.012017941612418</v>
      </c>
      <c r="L106" s="2">
        <v>36.340000000000003</v>
      </c>
      <c r="M106" s="204">
        <f>'collected data-merged'!R98/'collected data-merged'!Q98</f>
        <v>1.6</v>
      </c>
      <c r="N106" s="205">
        <f t="shared" ref="N106:N126" si="13">((T106/L106)/FCFA_US__exchange)*Quality_reduction</f>
        <v>1903.9109646248023</v>
      </c>
      <c r="O106" s="205">
        <f>'DCP3 causes and BoD CIV'!E98</f>
        <v>253475.81488098</v>
      </c>
      <c r="P106" s="212">
        <f>N106/'DCP3 causes and BoD CIV'!E98</f>
        <v>7.5112135077612316E-3</v>
      </c>
      <c r="Q106" s="213">
        <f t="shared" si="9"/>
        <v>1.2017941612417971E-2</v>
      </c>
      <c r="R106" s="2">
        <f>'collected data-merged'!N98</f>
        <v>3383.8385899237337</v>
      </c>
      <c r="S106" s="2">
        <f t="shared" si="10"/>
        <v>6.1524337998613339</v>
      </c>
      <c r="T106" s="206">
        <f>'collected data-merged'!T98</f>
        <v>54362097.785651334</v>
      </c>
      <c r="U106" s="219">
        <f t="shared" si="11"/>
        <v>98840.177792093338</v>
      </c>
      <c r="V106" s="2">
        <v>3</v>
      </c>
      <c r="W106" s="2">
        <v>1</v>
      </c>
    </row>
    <row r="107" spans="1:23" hidden="1">
      <c r="B107" s="1" t="s">
        <v>2276</v>
      </c>
      <c r="C107" s="1">
        <v>1</v>
      </c>
      <c r="D107" s="1" t="str">
        <f>'collected data-merged'!D99</f>
        <v>HC10</v>
      </c>
      <c r="E107" s="1" t="s">
        <v>642</v>
      </c>
      <c r="F107" s="205" t="str">
        <f>'DCP3 causes and BoD CIV'!B99</f>
        <v>HC10</v>
      </c>
      <c r="G107" s="2" t="s">
        <v>79</v>
      </c>
      <c r="H107" s="2" t="s">
        <v>29</v>
      </c>
      <c r="I107" s="2" t="s">
        <v>2046</v>
      </c>
      <c r="J107" s="2" t="str">
        <f t="shared" si="12"/>
        <v>Other maternal disorders: 0</v>
      </c>
      <c r="K107" s="1" t="s">
        <v>2169</v>
      </c>
      <c r="L107" s="2">
        <v>72799</v>
      </c>
      <c r="M107" s="204">
        <f>'collected data-merged'!R99/'collected data-merged'!Q99</f>
        <v>1.5000000000000002</v>
      </c>
      <c r="N107" s="205">
        <f t="shared" si="13"/>
        <v>0</v>
      </c>
      <c r="O107" s="205">
        <f>'DCP3 causes and BoD CIV'!E99</f>
        <v>13186.389929831839</v>
      </c>
      <c r="P107" s="212">
        <f>N107/'DCP3 causes and BoD CIV'!E99</f>
        <v>0</v>
      </c>
      <c r="Q107" s="213">
        <f t="shared" si="9"/>
        <v>0</v>
      </c>
      <c r="R107" s="2">
        <f>'collected data-merged'!N99</f>
        <v>30000</v>
      </c>
      <c r="S107" s="2">
        <f t="shared" si="10"/>
        <v>54.545454545454547</v>
      </c>
      <c r="T107" s="206">
        <f>'collected data-merged'!T99</f>
        <v>0</v>
      </c>
      <c r="U107" s="219">
        <f t="shared" si="11"/>
        <v>0</v>
      </c>
      <c r="V107" s="2">
        <v>2</v>
      </c>
      <c r="W107" s="2">
        <v>3</v>
      </c>
    </row>
    <row r="108" spans="1:23" hidden="1">
      <c r="B108" s="1" t="s">
        <v>2276</v>
      </c>
      <c r="C108" s="1">
        <v>1</v>
      </c>
      <c r="D108" s="1" t="str">
        <f>'collected data-merged'!D100</f>
        <v>HC11</v>
      </c>
      <c r="E108" s="1" t="s">
        <v>649</v>
      </c>
      <c r="F108" s="205" t="str">
        <f>'DCP3 causes and BoD CIV'!B100</f>
        <v>HC11</v>
      </c>
      <c r="G108" s="2" t="s">
        <v>39</v>
      </c>
      <c r="H108" s="2" t="s">
        <v>29</v>
      </c>
      <c r="I108" s="2" t="s">
        <v>2010</v>
      </c>
      <c r="J108" s="2" t="str">
        <f t="shared" si="12"/>
        <v>Maternal and neonatal disorders: 0.283712882822677</v>
      </c>
      <c r="K108" s="1" t="str">
        <f>J108</f>
        <v>Maternal and neonatal disorders: 0.283712882822677</v>
      </c>
      <c r="L108" s="2">
        <v>147</v>
      </c>
      <c r="M108" s="204">
        <f>'collected data-merged'!R100/'collected data-merged'!Q100</f>
        <v>1.142857142857143</v>
      </c>
      <c r="N108" s="205">
        <f t="shared" si="13"/>
        <v>487819.95100174646</v>
      </c>
      <c r="O108" s="205">
        <f>'DCP3 causes and BoD CIV'!E100</f>
        <v>1965044.765975663</v>
      </c>
      <c r="P108" s="212">
        <f>N108/'DCP3 causes and BoD CIV'!E100</f>
        <v>0.24824877246984209</v>
      </c>
      <c r="Q108" s="213">
        <f t="shared" si="9"/>
        <v>0.2837128828226767</v>
      </c>
      <c r="R108" s="2">
        <f>'collected data-merged'!N100</f>
        <v>72188.866508617095</v>
      </c>
      <c r="S108" s="2">
        <f t="shared" si="10"/>
        <v>131.252484561122</v>
      </c>
      <c r="T108" s="206">
        <f>'collected data-merged'!T100</f>
        <v>56343204340.701721</v>
      </c>
      <c r="U108" s="219">
        <f t="shared" si="11"/>
        <v>102442189.71036677</v>
      </c>
      <c r="V108" s="2">
        <v>6</v>
      </c>
      <c r="W108" s="2">
        <v>1</v>
      </c>
    </row>
    <row r="109" spans="1:23" ht="43.2" hidden="1">
      <c r="B109" s="1" t="s">
        <v>2276</v>
      </c>
      <c r="C109" s="1">
        <v>1</v>
      </c>
      <c r="D109" s="1" t="str">
        <f>'collected data-merged'!D101</f>
        <v>HC12</v>
      </c>
      <c r="E109" s="1" t="s">
        <v>669</v>
      </c>
      <c r="F109" s="205" t="str">
        <f>'DCP3 causes and BoD CIV'!B101</f>
        <v>HC12</v>
      </c>
      <c r="G109" s="2" t="s">
        <v>136</v>
      </c>
      <c r="H109" s="2" t="s">
        <v>29</v>
      </c>
      <c r="I109" s="2" t="s">
        <v>2047</v>
      </c>
      <c r="J109" s="2" t="str">
        <f t="shared" si="12"/>
        <v>Nutritional deficiencies; Malaria; Measles; Lower respiratory infections; Upper respiratory infections; Diarrheal diseases: 0.0595365599266169</v>
      </c>
      <c r="K109" s="1" t="s">
        <v>2305</v>
      </c>
      <c r="L109" s="2">
        <v>58</v>
      </c>
      <c r="M109" s="204">
        <f>'collected data-merged'!R101/'collected data-merged'!Q101</f>
        <v>1.8181818181818183</v>
      </c>
      <c r="N109" s="205">
        <f t="shared" si="13"/>
        <v>99259.566751473976</v>
      </c>
      <c r="O109" s="205">
        <f>'DCP3 causes and BoD CIV'!E101</f>
        <v>3031279.263877172</v>
      </c>
      <c r="P109" s="212">
        <f>N109/'DCP3 causes and BoD CIV'!E101</f>
        <v>3.2745107959639308E-2</v>
      </c>
      <c r="Q109" s="213">
        <f t="shared" si="9"/>
        <v>5.9536559926616932E-2</v>
      </c>
      <c r="R109" s="2">
        <f>'collected data-merged'!N101</f>
        <v>7180.5122410238127</v>
      </c>
      <c r="S109" s="2">
        <f t="shared" si="10"/>
        <v>13.055476801861477</v>
      </c>
      <c r="T109" s="206">
        <f>'collected data-merged'!T101</f>
        <v>4523400256.2457428</v>
      </c>
      <c r="U109" s="219">
        <f t="shared" si="11"/>
        <v>8224364.1022649873</v>
      </c>
      <c r="V109" s="2">
        <v>3</v>
      </c>
      <c r="W109" s="2">
        <v>2</v>
      </c>
    </row>
    <row r="110" spans="1:23" hidden="1">
      <c r="B110" s="1" t="s">
        <v>2276</v>
      </c>
      <c r="C110" s="1">
        <v>1</v>
      </c>
      <c r="D110" s="1" t="str">
        <f>'collected data-merged'!D102</f>
        <v>HC13</v>
      </c>
      <c r="E110" s="1" t="s">
        <v>670</v>
      </c>
      <c r="F110" s="205" t="str">
        <f>'DCP3 causes and BoD CIV'!B102</f>
        <v>HC13</v>
      </c>
      <c r="G110" s="2" t="s">
        <v>28</v>
      </c>
      <c r="H110" s="2" t="s">
        <v>29</v>
      </c>
      <c r="I110" s="2" t="s">
        <v>310</v>
      </c>
      <c r="J110" s="2" t="str">
        <f t="shared" si="12"/>
        <v>HIV/AIDS: 70.5790449166496</v>
      </c>
      <c r="K110" s="1" t="s">
        <v>2203</v>
      </c>
      <c r="L110" s="2">
        <v>64</v>
      </c>
      <c r="M110" s="204">
        <f>'collected data-merged'!R102/'collected data-merged'!Q102</f>
        <v>1.7391304347826086</v>
      </c>
      <c r="N110" s="205">
        <f t="shared" si="13"/>
        <v>842730.72910817293</v>
      </c>
      <c r="O110" s="205">
        <f>'DCP3 causes and BoD CIV'!E102</f>
        <v>20765.6346306384</v>
      </c>
      <c r="P110" s="212">
        <f>N110/'DCP3 causes and BoD CIV'!E102</f>
        <v>40.58295082707351</v>
      </c>
      <c r="Q110" s="213">
        <f t="shared" si="9"/>
        <v>70.579044916649579</v>
      </c>
      <c r="R110" s="2">
        <f>'collected data-merged'!N102</f>
        <v>173492.65808452171</v>
      </c>
      <c r="S110" s="2">
        <f t="shared" si="10"/>
        <v>315.44119651731222</v>
      </c>
      <c r="T110" s="206">
        <f>'collected data-merged'!T102</f>
        <v>42377316663.725273</v>
      </c>
      <c r="U110" s="219">
        <f t="shared" si="11"/>
        <v>77049666.661318675</v>
      </c>
      <c r="V110" s="2">
        <v>5</v>
      </c>
      <c r="W110" s="2">
        <v>1</v>
      </c>
    </row>
    <row r="111" spans="1:23" ht="43.2" hidden="1">
      <c r="B111" s="1" t="s">
        <v>2276</v>
      </c>
      <c r="C111" s="1">
        <v>1</v>
      </c>
      <c r="D111" s="1" t="str">
        <f>'collected data-merged'!D103</f>
        <v>HC14</v>
      </c>
      <c r="E111" s="1" t="s">
        <v>671</v>
      </c>
      <c r="F111" s="205" t="str">
        <f>'DCP3 causes and BoD CIV'!B103</f>
        <v>HC14</v>
      </c>
      <c r="G111" s="2" t="s">
        <v>207</v>
      </c>
      <c r="H111" s="2" t="s">
        <v>29</v>
      </c>
      <c r="I111" s="2" t="s">
        <v>2048</v>
      </c>
      <c r="J111" s="2" t="str">
        <f t="shared" si="12"/>
        <v>Depressive disorders; Bipolar disorder; Anxiety disorders; Attention-deficit/hyperactivity disorder; Conduct disorder: 0.00657918111015946</v>
      </c>
      <c r="K111" s="1" t="s">
        <v>2332</v>
      </c>
      <c r="L111" s="2">
        <v>11484</v>
      </c>
      <c r="M111" s="204">
        <f>'collected data-merged'!R103/'collected data-merged'!Q103</f>
        <v>2</v>
      </c>
      <c r="N111" s="205">
        <f t="shared" si="13"/>
        <v>751.483839776786</v>
      </c>
      <c r="O111" s="205">
        <f>'DCP3 causes and BoD CIV'!E103</f>
        <v>228442.9710002534</v>
      </c>
      <c r="P111" s="212">
        <f>N111/'DCP3 causes and BoD CIV'!E103</f>
        <v>3.2895905550797289E-3</v>
      </c>
      <c r="Q111" s="213">
        <f t="shared" si="9"/>
        <v>6.5791811101594579E-3</v>
      </c>
      <c r="R111" s="2">
        <f>'collected data-merged'!N103</f>
        <v>31294.306695778741</v>
      </c>
      <c r="S111" s="2">
        <f t="shared" si="10"/>
        <v>56.898739446870437</v>
      </c>
      <c r="T111" s="206">
        <f>'collected data-merged'!T103</f>
        <v>6780746041.1401949</v>
      </c>
      <c r="U111" s="219">
        <f t="shared" si="11"/>
        <v>12328629.165709445</v>
      </c>
      <c r="V111" s="2">
        <v>2</v>
      </c>
      <c r="W111" s="2">
        <v>1</v>
      </c>
    </row>
    <row r="112" spans="1:23" ht="28.8" hidden="1">
      <c r="A112" s="1" t="s">
        <v>2287</v>
      </c>
      <c r="B112" s="1" t="s">
        <v>2276</v>
      </c>
      <c r="C112" s="1">
        <v>1</v>
      </c>
      <c r="D112" s="1" t="str">
        <f>'collected data-merged'!D104</f>
        <v>HC16</v>
      </c>
      <c r="E112" s="1" t="s">
        <v>683</v>
      </c>
      <c r="F112" s="205" t="str">
        <f>'DCP3 causes and BoD CIV'!B104</f>
        <v>HC16</v>
      </c>
      <c r="G112" s="2" t="s">
        <v>195</v>
      </c>
      <c r="H112" s="2" t="s">
        <v>29</v>
      </c>
      <c r="I112" s="2" t="s">
        <v>2049</v>
      </c>
      <c r="J112" s="2" t="str">
        <f t="shared" si="12"/>
        <v>HIV/AIDS and sexually transmitted infections; Depressive disorders; Anxiety disorders: 0</v>
      </c>
      <c r="K112" s="1" t="s">
        <v>2222</v>
      </c>
      <c r="L112" s="2">
        <v>2908</v>
      </c>
      <c r="M112" s="204">
        <f>'collected data-merged'!R104/'collected data-merged'!Q104</f>
        <v>1</v>
      </c>
      <c r="N112" s="205">
        <f t="shared" si="13"/>
        <v>0</v>
      </c>
      <c r="O112" s="205">
        <f>'DCP3 causes and BoD CIV'!E104</f>
        <v>270897.50343444152</v>
      </c>
      <c r="P112" s="212">
        <f>N112/'DCP3 causes and BoD CIV'!E104</f>
        <v>0</v>
      </c>
      <c r="Q112" s="213">
        <f t="shared" si="9"/>
        <v>0</v>
      </c>
      <c r="R112" s="2">
        <f>'collected data-merged'!N104</f>
        <v>2555.4579723285478</v>
      </c>
      <c r="S112" s="2">
        <f t="shared" si="10"/>
        <v>4.6462872224155412</v>
      </c>
      <c r="T112" s="206">
        <f>'collected data-merged'!T104</f>
        <v>0</v>
      </c>
      <c r="U112" s="219">
        <f t="shared" si="11"/>
        <v>0</v>
      </c>
      <c r="V112" s="2">
        <v>3</v>
      </c>
      <c r="W112" s="2">
        <v>1</v>
      </c>
    </row>
    <row r="113" spans="1:23" ht="28.8" hidden="1">
      <c r="B113" s="1" t="s">
        <v>2276</v>
      </c>
      <c r="C113" s="1">
        <v>1</v>
      </c>
      <c r="D113" s="1" t="str">
        <f>'collected data-merged'!D105</f>
        <v>HC17</v>
      </c>
      <c r="E113" s="1" t="s">
        <v>684</v>
      </c>
      <c r="F113" s="205" t="str">
        <f>'DCP3 causes and BoD CIV'!B105</f>
        <v>HC17</v>
      </c>
      <c r="G113" s="2" t="s">
        <v>160</v>
      </c>
      <c r="H113" s="2" t="s">
        <v>29</v>
      </c>
      <c r="I113" s="2" t="s">
        <v>1618</v>
      </c>
      <c r="J113" s="2" t="str">
        <f t="shared" si="12"/>
        <v>Sexually transmitted infections excluding HIV: 1.86331623452159</v>
      </c>
      <c r="K113" s="1" t="s">
        <v>2333</v>
      </c>
      <c r="L113" s="2">
        <v>62.55</v>
      </c>
      <c r="M113" s="204">
        <f>'collected data-merged'!R105/'collected data-merged'!Q105</f>
        <v>1.26984126984127</v>
      </c>
      <c r="N113" s="205">
        <f t="shared" si="13"/>
        <v>146935.83796660783</v>
      </c>
      <c r="O113" s="205">
        <f>'DCP3 causes and BoD CIV'!E105</f>
        <v>100136.0840483497</v>
      </c>
      <c r="P113" s="212">
        <f>N113/'DCP3 causes and BoD CIV'!E105</f>
        <v>1.4673615346857516</v>
      </c>
      <c r="Q113" s="213">
        <f t="shared" si="9"/>
        <v>1.8633162345215895</v>
      </c>
      <c r="R113" s="2">
        <f>'collected data-merged'!N105</f>
        <v>2524.5743368226099</v>
      </c>
      <c r="S113" s="2">
        <f t="shared" si="10"/>
        <v>4.590135157859291</v>
      </c>
      <c r="T113" s="206">
        <f>'collected data-merged'!T105</f>
        <v>7221371665.2088938</v>
      </c>
      <c r="U113" s="219">
        <f t="shared" si="11"/>
        <v>13129766.66401617</v>
      </c>
      <c r="V113" s="2">
        <v>3</v>
      </c>
      <c r="W113" s="2">
        <v>1</v>
      </c>
    </row>
    <row r="114" spans="1:23" ht="28.8" hidden="1">
      <c r="B114" s="1" t="s">
        <v>2276</v>
      </c>
      <c r="C114" s="1">
        <v>1</v>
      </c>
      <c r="D114" s="1" t="str">
        <f>'collected data-merged'!D106</f>
        <v>HC18</v>
      </c>
      <c r="E114" s="1" t="s">
        <v>685</v>
      </c>
      <c r="F114" s="205" t="str">
        <f>'DCP3 causes and BoD CIV'!B106</f>
        <v>HC18</v>
      </c>
      <c r="G114" s="2" t="s">
        <v>523</v>
      </c>
      <c r="H114" s="2" t="s">
        <v>29</v>
      </c>
      <c r="I114" s="2" t="s">
        <v>400</v>
      </c>
      <c r="J114" s="2" t="str">
        <f t="shared" si="12"/>
        <v>Cervical cancer: 0.00170009802724388</v>
      </c>
      <c r="K114" s="1" t="str">
        <f>J114</f>
        <v>Cervical cancer: 0.00170009802724388</v>
      </c>
      <c r="L114" s="2">
        <v>681</v>
      </c>
      <c r="M114" s="204">
        <f>'collected data-merged'!R106/'collected data-merged'!Q106</f>
        <v>4</v>
      </c>
      <c r="N114" s="205">
        <f t="shared" si="13"/>
        <v>7.9560719043972083</v>
      </c>
      <c r="O114" s="205">
        <f>'DCP3 causes and BoD CIV'!E106</f>
        <v>18719.08978635833</v>
      </c>
      <c r="P114" s="212">
        <f>N114/'DCP3 causes and BoD CIV'!E106</f>
        <v>4.2502450681096963E-4</v>
      </c>
      <c r="Q114" s="213">
        <f t="shared" si="9"/>
        <v>1.7000980272438785E-3</v>
      </c>
      <c r="R114" s="2">
        <f>'collected data-merged'!N106</f>
        <v>3252.8695621555057</v>
      </c>
      <c r="S114" s="2">
        <f t="shared" si="10"/>
        <v>5.9143082948281922</v>
      </c>
      <c r="T114" s="206">
        <f>'collected data-merged'!T106</f>
        <v>4257066.7597028213</v>
      </c>
      <c r="U114" s="219">
        <f t="shared" si="11"/>
        <v>7740.1213812778569</v>
      </c>
      <c r="V114" s="2">
        <v>2</v>
      </c>
      <c r="W114" s="2">
        <v>1</v>
      </c>
    </row>
    <row r="115" spans="1:23" ht="72" hidden="1">
      <c r="A115" s="1" t="s">
        <v>2280</v>
      </c>
      <c r="B115" s="1" t="s">
        <v>2276</v>
      </c>
      <c r="C115" s="1">
        <v>0</v>
      </c>
      <c r="D115" s="1" t="str">
        <f>'collected data-merged'!D107</f>
        <v>HC19</v>
      </c>
      <c r="E115" s="1" t="s">
        <v>692</v>
      </c>
      <c r="F115" s="205" t="str">
        <f>'DCP3 causes and BoD CIV'!B107</f>
        <v>HC19</v>
      </c>
      <c r="G115" s="2" t="s">
        <v>275</v>
      </c>
      <c r="H115" s="2" t="s">
        <v>29</v>
      </c>
      <c r="I115" s="2" t="s">
        <v>2050</v>
      </c>
      <c r="J115" s="1" t="str">
        <f t="shared" si="12"/>
        <v>Acute hepatitis B; Acute hepatitis C; Cirrhosis and other chronic liver diseases due to hepatitis B; Cirrhosis and other chronic liver diseases due to hepatitis C; Liver cancer due to hepatitis B; Liver cancer due to hepatitis C: 0</v>
      </c>
      <c r="K115" s="1" t="e">
        <v>#DIV/0!</v>
      </c>
      <c r="L115" s="2">
        <v>402.5</v>
      </c>
      <c r="M115" s="204">
        <f>'collected data-merged'!R107/'collected data-merged'!Q107</f>
        <v>1.6</v>
      </c>
      <c r="N115" s="205">
        <f t="shared" si="13"/>
        <v>0</v>
      </c>
      <c r="O115" s="205">
        <f>'DCP3 causes and BoD CIV'!E107</f>
        <v>248323.78071252035</v>
      </c>
      <c r="P115" s="212">
        <f>N115/'DCP3 causes and BoD CIV'!E107</f>
        <v>0</v>
      </c>
      <c r="Q115" s="213">
        <f t="shared" si="9"/>
        <v>0</v>
      </c>
      <c r="R115" s="2">
        <f>'collected data-merged'!N107</f>
        <v>204327.58895548468</v>
      </c>
      <c r="S115" s="2">
        <f t="shared" si="10"/>
        <v>371.50470719179032</v>
      </c>
      <c r="T115" s="206">
        <f>'collected data-merged'!T107</f>
        <v>0</v>
      </c>
      <c r="U115" s="219">
        <f t="shared" si="11"/>
        <v>0</v>
      </c>
      <c r="V115" s="2">
        <v>4</v>
      </c>
      <c r="W115" s="2">
        <v>1</v>
      </c>
    </row>
    <row r="116" spans="1:23" hidden="1">
      <c r="A116" s="1" t="s">
        <v>2279</v>
      </c>
      <c r="B116" s="1" t="s">
        <v>2276</v>
      </c>
      <c r="C116" s="1">
        <v>1</v>
      </c>
      <c r="D116" s="1" t="str">
        <f>'collected data-merged'!D108</f>
        <v>HC2</v>
      </c>
      <c r="E116" s="1" t="s">
        <v>632</v>
      </c>
      <c r="F116" s="205" t="str">
        <f>'DCP3 causes and BoD CIV'!B108</f>
        <v>HC2</v>
      </c>
      <c r="G116" s="2" t="s">
        <v>180</v>
      </c>
      <c r="H116" s="2" t="s">
        <v>29</v>
      </c>
      <c r="I116" s="2" t="s">
        <v>1683</v>
      </c>
      <c r="J116" s="2" t="str">
        <f t="shared" si="12"/>
        <v>Maternal abortion and miscarriage: 0.00142767684270851</v>
      </c>
      <c r="K116" s="1" t="str">
        <f>J116</f>
        <v>Maternal abortion and miscarriage: 0.00142767684270851</v>
      </c>
      <c r="L116" s="6">
        <v>402.5</v>
      </c>
      <c r="M116" s="204">
        <f>'collected data-merged'!R108/'collected data-merged'!Q108</f>
        <v>8</v>
      </c>
      <c r="N116" s="205">
        <f t="shared" si="13"/>
        <v>2.0817952337904613</v>
      </c>
      <c r="O116" s="205">
        <f>'DCP3 causes and BoD CIV'!E108</f>
        <v>11665.358274445351</v>
      </c>
      <c r="P116" s="212">
        <f>N116/'DCP3 causes and BoD CIV'!E108</f>
        <v>1.7845960533856333E-4</v>
      </c>
      <c r="Q116" s="213">
        <f t="shared" si="9"/>
        <v>1.4276768427085066E-3</v>
      </c>
      <c r="R116" s="2">
        <f>'collected data-merged'!N108</f>
        <v>11282.79312</v>
      </c>
      <c r="S116" s="2">
        <f t="shared" si="10"/>
        <v>20.51416930909091</v>
      </c>
      <c r="T116" s="206">
        <f>'collected data-merged'!T108</f>
        <v>658367.74268623337</v>
      </c>
      <c r="U116" s="219">
        <f t="shared" si="11"/>
        <v>1197.0322594295153</v>
      </c>
      <c r="V116" s="2">
        <v>4</v>
      </c>
      <c r="W116" s="2">
        <v>1</v>
      </c>
    </row>
    <row r="117" spans="1:23" ht="72" hidden="1">
      <c r="A117" s="1" t="s">
        <v>2280</v>
      </c>
      <c r="B117" s="1" t="s">
        <v>2276</v>
      </c>
      <c r="C117" s="1">
        <v>0</v>
      </c>
      <c r="D117" s="1" t="str">
        <f>'collected data-merged'!D109</f>
        <v>HC20</v>
      </c>
      <c r="E117" s="1" t="s">
        <v>693</v>
      </c>
      <c r="F117" s="205" t="str">
        <f>'DCP3 causes and BoD CIV'!B109</f>
        <v>HC20</v>
      </c>
      <c r="G117" s="2" t="s">
        <v>110</v>
      </c>
      <c r="H117" s="2" t="s">
        <v>29</v>
      </c>
      <c r="I117" s="2" t="s">
        <v>2050</v>
      </c>
      <c r="J117" s="1" t="str">
        <f t="shared" si="12"/>
        <v>Acute hepatitis B; Acute hepatitis C; Cirrhosis and other chronic liver diseases due to hepatitis B; Cirrhosis and other chronic liver diseases due to hepatitis C; Liver cancer due to hepatitis B; Liver cancer due to hepatitis C: 0.0161289476049474</v>
      </c>
      <c r="K117" s="1" t="e">
        <v>#DIV/0!</v>
      </c>
      <c r="L117" s="2">
        <v>402.5</v>
      </c>
      <c r="M117" s="204">
        <f>'collected data-merged'!R109/'collected data-merged'!Q109</f>
        <v>1.6</v>
      </c>
      <c r="N117" s="205">
        <f t="shared" si="13"/>
        <v>2503.250780109187</v>
      </c>
      <c r="O117" s="205">
        <f>'DCP3 causes and BoD CIV'!E109</f>
        <v>248323.78071252035</v>
      </c>
      <c r="P117" s="212">
        <f>N117/'DCP3 causes and BoD CIV'!E109</f>
        <v>1.0080592253092152E-2</v>
      </c>
      <c r="Q117" s="213">
        <f t="shared" si="9"/>
        <v>1.6128947604947444E-2</v>
      </c>
      <c r="R117" s="2">
        <f>'collected data-merged'!N109</f>
        <v>8164.2725781505878</v>
      </c>
      <c r="S117" s="2">
        <f t="shared" si="10"/>
        <v>14.844131960273796</v>
      </c>
      <c r="T117" s="206">
        <f>'collected data-merged'!T109</f>
        <v>791653059.20953035</v>
      </c>
      <c r="U117" s="219">
        <f t="shared" si="11"/>
        <v>1439369.1985627825</v>
      </c>
      <c r="V117" s="2">
        <v>2</v>
      </c>
      <c r="W117" s="2">
        <v>1</v>
      </c>
    </row>
    <row r="118" spans="1:23" hidden="1">
      <c r="B118" s="1" t="s">
        <v>2276</v>
      </c>
      <c r="C118" s="1">
        <v>1</v>
      </c>
      <c r="D118" s="1" t="str">
        <f>'collected data-merged'!D110</f>
        <v>HC21</v>
      </c>
      <c r="E118" s="1" t="s">
        <v>694</v>
      </c>
      <c r="F118" s="205" t="str">
        <f>'DCP3 causes and BoD CIV'!B110</f>
        <v>HC21</v>
      </c>
      <c r="G118" s="2" t="s">
        <v>101</v>
      </c>
      <c r="H118" s="2" t="s">
        <v>29</v>
      </c>
      <c r="I118" s="2" t="s">
        <v>2018</v>
      </c>
      <c r="J118" s="2" t="str">
        <f t="shared" si="12"/>
        <v>HIV/AIDS and sexually transmitted infections: 0.0186407254702946</v>
      </c>
      <c r="K118" s="1" t="str">
        <f>J118</f>
        <v>HIV/AIDS and sexually transmitted infections: 0.0186407254702946</v>
      </c>
      <c r="L118" s="2">
        <v>3560</v>
      </c>
      <c r="M118" s="204">
        <f>'collected data-merged'!R110/'collected data-merged'!Q110</f>
        <v>1.6</v>
      </c>
      <c r="N118" s="205">
        <f t="shared" si="13"/>
        <v>2094.8930715857737</v>
      </c>
      <c r="O118" s="205">
        <f>'DCP3 causes and BoD CIV'!E110</f>
        <v>179812.1494723277</v>
      </c>
      <c r="P118" s="212">
        <f>N118/'DCP3 causes and BoD CIV'!E110</f>
        <v>1.1650453418934122E-2</v>
      </c>
      <c r="Q118" s="213">
        <f t="shared" si="9"/>
        <v>1.8640725470294595E-2</v>
      </c>
      <c r="R118" s="2">
        <f>'collected data-merged'!N110</f>
        <v>2581.1635202488583</v>
      </c>
      <c r="S118" s="2">
        <f t="shared" si="10"/>
        <v>4.6930245822706516</v>
      </c>
      <c r="T118" s="206">
        <f>'collected data-merged'!T110</f>
        <v>5859715191.6642065</v>
      </c>
      <c r="U118" s="219">
        <f t="shared" si="11"/>
        <v>10654027.621207649</v>
      </c>
      <c r="V118" s="2">
        <v>3</v>
      </c>
      <c r="W118" s="2">
        <v>1</v>
      </c>
    </row>
    <row r="119" spans="1:23" ht="28.8" hidden="1">
      <c r="A119" s="1" t="s">
        <v>2287</v>
      </c>
      <c r="B119" s="1" t="s">
        <v>2276</v>
      </c>
      <c r="C119" s="1">
        <v>1</v>
      </c>
      <c r="D119" s="1" t="str">
        <f>'collected data-merged'!D111</f>
        <v>HC22</v>
      </c>
      <c r="E119" s="1" t="s">
        <v>695</v>
      </c>
      <c r="F119" s="205" t="str">
        <f>'DCP3 causes and BoD CIV'!B111</f>
        <v>HC22</v>
      </c>
      <c r="G119" s="2" t="s">
        <v>476</v>
      </c>
      <c r="H119" s="2" t="s">
        <v>29</v>
      </c>
      <c r="I119" s="2" t="s">
        <v>310</v>
      </c>
      <c r="J119" s="2" t="str">
        <f t="shared" si="12"/>
        <v>HIV/AIDS: 0.0348588270404453</v>
      </c>
      <c r="K119" s="1" t="s">
        <v>2306</v>
      </c>
      <c r="L119" s="2">
        <v>12680</v>
      </c>
      <c r="M119" s="204">
        <f>'collected data-merged'!R111/'collected data-merged'!Q111</f>
        <v>1</v>
      </c>
      <c r="N119" s="205">
        <f t="shared" si="13"/>
        <v>723.86566597450428</v>
      </c>
      <c r="O119" s="205">
        <f>'DCP3 causes and BoD CIV'!E111</f>
        <v>20765.6346306384</v>
      </c>
      <c r="P119" s="212">
        <f>N119/'DCP3 causes and BoD CIV'!E111</f>
        <v>3.4858827040445253E-2</v>
      </c>
      <c r="Q119" s="213">
        <f t="shared" si="9"/>
        <v>3.4858827040445253E-2</v>
      </c>
      <c r="R119" s="2">
        <f>'collected data-merged'!N111</f>
        <v>116309.73858542292</v>
      </c>
      <c r="S119" s="2">
        <f t="shared" si="10"/>
        <v>211.47225197349621</v>
      </c>
      <c r="T119" s="206">
        <f>'collected data-merged'!T111</f>
        <v>7211770220.7231331</v>
      </c>
      <c r="U119" s="219">
        <f t="shared" si="11"/>
        <v>13112309.492223877</v>
      </c>
      <c r="V119" s="2">
        <v>5</v>
      </c>
      <c r="W119" s="2">
        <v>1</v>
      </c>
    </row>
    <row r="120" spans="1:23" ht="114" hidden="1" customHeight="1">
      <c r="B120" s="1" t="s">
        <v>2276</v>
      </c>
      <c r="C120" s="1">
        <v>1</v>
      </c>
      <c r="D120" s="1" t="str">
        <f>'collected data-merged'!D112</f>
        <v>HC23</v>
      </c>
      <c r="E120" s="1" t="s">
        <v>696</v>
      </c>
      <c r="F120" s="205" t="str">
        <f>'DCP3 causes and BoD CIV'!B112</f>
        <v>HC23</v>
      </c>
      <c r="G120" s="2" t="s">
        <v>266</v>
      </c>
      <c r="H120" s="2" t="s">
        <v>29</v>
      </c>
      <c r="I120" s="2" t="s">
        <v>2051</v>
      </c>
      <c r="J120" s="2" t="str">
        <f t="shared" si="12"/>
        <v>HIV/AIDS and sexually transmitted infections; Acute hepatitis B; Acute hepatitis C; Cirrhosis and other chronic liver diseases due to hepatitis B; Cirrhosis and other chronic liver diseases due to hepatitis C; Liver cancer due to hepatitis B; Liver cancer due to hepatitis C: 0.915793957150311</v>
      </c>
      <c r="K120" s="1" t="s">
        <v>2307</v>
      </c>
      <c r="L120" s="2">
        <v>17</v>
      </c>
      <c r="M120" s="204">
        <f>'collected data-merged'!R112/'collected data-merged'!Q112</f>
        <v>1.4814814814814814</v>
      </c>
      <c r="N120" s="205">
        <f t="shared" si="13"/>
        <v>135390.86677451732</v>
      </c>
      <c r="O120" s="205">
        <f>'DCP3 causes and BoD CIV'!E112</f>
        <v>219022.04128133645</v>
      </c>
      <c r="P120" s="212">
        <f>N120/'DCP3 causes and BoD CIV'!E112</f>
        <v>0.6181609210764597</v>
      </c>
      <c r="Q120" s="213">
        <f t="shared" si="9"/>
        <v>0.91579395715031064</v>
      </c>
      <c r="R120" s="2">
        <f>'collected data-merged'!N112</f>
        <v>4423.9412117903921</v>
      </c>
      <c r="S120" s="2">
        <f t="shared" si="10"/>
        <v>8.0435294759825311</v>
      </c>
      <c r="T120" s="206">
        <f>'collected data-merged'!T112</f>
        <v>1808435149.0596242</v>
      </c>
      <c r="U120" s="219">
        <f t="shared" si="11"/>
        <v>3288063.907381135</v>
      </c>
      <c r="V120" s="2">
        <v>3</v>
      </c>
      <c r="W120" s="2">
        <v>1</v>
      </c>
    </row>
    <row r="121" spans="1:23" ht="43.2" hidden="1">
      <c r="A121" s="1" t="s">
        <v>2279</v>
      </c>
      <c r="B121" s="1" t="s">
        <v>2276</v>
      </c>
      <c r="C121" s="1">
        <v>1</v>
      </c>
      <c r="D121" s="1" t="str">
        <f>'collected data-merged'!D113</f>
        <v>HC24</v>
      </c>
      <c r="E121" s="1" t="s">
        <v>697</v>
      </c>
      <c r="F121" s="205" t="str">
        <f>'DCP3 causes and BoD CIV'!B113</f>
        <v>HC24</v>
      </c>
      <c r="G121" s="2" t="s">
        <v>420</v>
      </c>
      <c r="H121" s="2" t="s">
        <v>29</v>
      </c>
      <c r="I121" s="2" t="s">
        <v>2052</v>
      </c>
      <c r="J121" s="2" t="str">
        <f t="shared" si="12"/>
        <v>Acute hepatitis B; Cirrhosis and other chronic liver diseases due to hepatitis B; Liver cancer due to hepatitis B: 0.0285202437825842</v>
      </c>
      <c r="K121" s="1" t="s">
        <v>2334</v>
      </c>
      <c r="L121" s="6">
        <v>402.5</v>
      </c>
      <c r="M121" s="204">
        <f>'collected data-merged'!R113/'collected data-merged'!Q113</f>
        <v>1.6</v>
      </c>
      <c r="N121" s="205">
        <f t="shared" si="13"/>
        <v>1572.2590565290579</v>
      </c>
      <c r="O121" s="205">
        <f>'DCP3 causes and BoD CIV'!E113</f>
        <v>88204.522711080266</v>
      </c>
      <c r="P121" s="212">
        <f>N121/'DCP3 causes and BoD CIV'!E113</f>
        <v>1.7825152364115117E-2</v>
      </c>
      <c r="Q121" s="213">
        <f t="shared" si="9"/>
        <v>2.8520243782584189E-2</v>
      </c>
      <c r="R121" s="2">
        <f>'collected data-merged'!N113</f>
        <v>591.62487263464322</v>
      </c>
      <c r="S121" s="2">
        <f t="shared" si="10"/>
        <v>1.0756815866084422</v>
      </c>
      <c r="T121" s="206">
        <f>'collected data-merged'!T113</f>
        <v>497226926.62731463</v>
      </c>
      <c r="U121" s="219">
        <f t="shared" si="11"/>
        <v>904048.95750420843</v>
      </c>
      <c r="V121" s="2">
        <v>1</v>
      </c>
      <c r="W121" s="2">
        <v>2</v>
      </c>
    </row>
    <row r="122" spans="1:23">
      <c r="A122" s="1" t="s">
        <v>2287</v>
      </c>
      <c r="B122" s="1" t="s">
        <v>2276</v>
      </c>
      <c r="C122" s="1">
        <v>1</v>
      </c>
      <c r="D122" s="1" t="str">
        <f>'collected data-merged'!D114</f>
        <v>HC25</v>
      </c>
      <c r="E122" s="1" t="s">
        <v>698</v>
      </c>
      <c r="F122" s="205" t="str">
        <f>'DCP3 causes and BoD CIV'!B114</f>
        <v>HC25</v>
      </c>
      <c r="G122" s="2" t="s">
        <v>483</v>
      </c>
      <c r="H122" s="2" t="s">
        <v>29</v>
      </c>
      <c r="I122" s="2" t="s">
        <v>2018</v>
      </c>
      <c r="J122" s="2" t="str">
        <f t="shared" si="12"/>
        <v>HIV/AIDS and sexually transmitted infections: 0</v>
      </c>
      <c r="K122" s="1" t="s">
        <v>2171</v>
      </c>
      <c r="L122" s="2">
        <v>3.16</v>
      </c>
      <c r="M122" s="204">
        <f>'collected data-merged'!R114/'collected data-merged'!Q114</f>
        <v>1</v>
      </c>
      <c r="N122" s="205">
        <f t="shared" si="13"/>
        <v>0</v>
      </c>
      <c r="O122" s="205">
        <f>'DCP3 causes and BoD CIV'!E114</f>
        <v>104927.3054330778</v>
      </c>
      <c r="P122" s="212">
        <f>N122/'DCP3 causes and BoD CIV'!E114</f>
        <v>0</v>
      </c>
      <c r="Q122" s="213">
        <f t="shared" si="9"/>
        <v>0</v>
      </c>
      <c r="R122" s="2">
        <f>'collected data-merged'!N114</f>
        <v>28852.533286170386</v>
      </c>
      <c r="S122" s="2">
        <f t="shared" si="10"/>
        <v>52.459151429400706</v>
      </c>
      <c r="T122" s="206">
        <f>'collected data-merged'!T114</f>
        <v>0</v>
      </c>
      <c r="U122" s="219">
        <f t="shared" si="11"/>
        <v>0</v>
      </c>
      <c r="V122" s="2">
        <v>4</v>
      </c>
      <c r="W122" s="2">
        <v>1</v>
      </c>
    </row>
    <row r="123" spans="1:23" hidden="1">
      <c r="A123" s="1" t="s">
        <v>2287</v>
      </c>
      <c r="B123" s="1" t="s">
        <v>2276</v>
      </c>
      <c r="C123" s="1">
        <v>1</v>
      </c>
      <c r="D123" s="1" t="str">
        <f>'collected data-merged'!D115</f>
        <v>HC26</v>
      </c>
      <c r="E123" s="1" t="s">
        <v>699</v>
      </c>
      <c r="F123" s="205" t="str">
        <f>'DCP3 causes and BoD CIV'!B115</f>
        <v>HC26</v>
      </c>
      <c r="G123" s="2" t="s">
        <v>145</v>
      </c>
      <c r="H123" s="2" t="s">
        <v>29</v>
      </c>
      <c r="I123" s="2" t="s">
        <v>320</v>
      </c>
      <c r="J123" s="2" t="str">
        <f t="shared" si="12"/>
        <v>Tuberculosis: 0.00343440454003983</v>
      </c>
      <c r="K123" s="1" t="str">
        <f>J123</f>
        <v>Tuberculosis: 0.00343440454003983</v>
      </c>
      <c r="L123" s="2">
        <v>2626</v>
      </c>
      <c r="M123" s="204">
        <f>'collected data-merged'!R115/'collected data-merged'!Q115</f>
        <v>1</v>
      </c>
      <c r="N123" s="205">
        <f t="shared" si="13"/>
        <v>1196.8173064957941</v>
      </c>
      <c r="O123" s="205">
        <f>'DCP3 causes and BoD CIV'!E115</f>
        <v>348478.83892033168</v>
      </c>
      <c r="P123" s="212">
        <f>N123/'DCP3 causes and BoD CIV'!E115</f>
        <v>3.4344045400398256E-3</v>
      </c>
      <c r="Q123" s="213">
        <f t="shared" si="9"/>
        <v>3.4344045400398256E-3</v>
      </c>
      <c r="R123" s="2">
        <f>'collected data-merged'!N115</f>
        <v>64589.24594849025</v>
      </c>
      <c r="S123" s="2">
        <f t="shared" si="10"/>
        <v>117.43499263361863</v>
      </c>
      <c r="T123" s="206">
        <f>'collected data-merged'!T115</f>
        <v>2469376051.1026793</v>
      </c>
      <c r="U123" s="219">
        <f t="shared" si="11"/>
        <v>4489774.6383685078</v>
      </c>
      <c r="V123" s="2">
        <v>5</v>
      </c>
      <c r="W123" s="2">
        <v>3</v>
      </c>
    </row>
    <row r="124" spans="1:23" hidden="1">
      <c r="B124" s="1" t="s">
        <v>2276</v>
      </c>
      <c r="C124" s="1">
        <v>1</v>
      </c>
      <c r="D124" s="1" t="str">
        <f>'collected data-merged'!D116</f>
        <v>HC27</v>
      </c>
      <c r="E124" s="1" t="s">
        <v>700</v>
      </c>
      <c r="F124" s="205" t="str">
        <f>'DCP3 causes and BoD CIV'!B116</f>
        <v>HC27</v>
      </c>
      <c r="G124" s="2" t="s">
        <v>83</v>
      </c>
      <c r="H124" s="2" t="s">
        <v>29</v>
      </c>
      <c r="I124" s="2" t="s">
        <v>320</v>
      </c>
      <c r="J124" s="2" t="str">
        <f t="shared" si="12"/>
        <v>Tuberculosis: 0.0106342514114271</v>
      </c>
      <c r="K124" s="1" t="str">
        <f>J124</f>
        <v>Tuberculosis: 0.0106342514114271</v>
      </c>
      <c r="L124" s="2">
        <v>1032</v>
      </c>
      <c r="M124" s="204">
        <f>'collected data-merged'!R116/'collected data-merged'!Q116</f>
        <v>1.142857142857143</v>
      </c>
      <c r="N124" s="205">
        <f t="shared" si="13"/>
        <v>3242.5851365608801</v>
      </c>
      <c r="O124" s="205">
        <f>'DCP3 causes and BoD CIV'!E116</f>
        <v>348478.83892033168</v>
      </c>
      <c r="P124" s="212">
        <f>N124/'DCP3 causes and BoD CIV'!E116</f>
        <v>9.3049699849986917E-3</v>
      </c>
      <c r="Q124" s="213">
        <f t="shared" si="9"/>
        <v>1.0634251411427077E-2</v>
      </c>
      <c r="R124" s="2">
        <f>'collected data-merged'!N116</f>
        <v>98245.049745269265</v>
      </c>
      <c r="S124" s="2">
        <f t="shared" si="10"/>
        <v>178.62736317321685</v>
      </c>
      <c r="T124" s="206">
        <f>'collected data-merged'!T116</f>
        <v>2629273319.302794</v>
      </c>
      <c r="U124" s="219">
        <f t="shared" si="11"/>
        <v>4780496.9441868979</v>
      </c>
      <c r="V124" s="2">
        <v>4</v>
      </c>
      <c r="W124" s="2">
        <v>3</v>
      </c>
    </row>
    <row r="125" spans="1:23" ht="28.8" hidden="1">
      <c r="A125" s="1" t="s">
        <v>2287</v>
      </c>
      <c r="B125" s="1" t="s">
        <v>2276</v>
      </c>
      <c r="C125" s="1">
        <v>1</v>
      </c>
      <c r="D125" s="1" t="str">
        <f>'collected data-merged'!D117</f>
        <v>HC28</v>
      </c>
      <c r="E125" s="1" t="s">
        <v>701</v>
      </c>
      <c r="F125" s="205" t="str">
        <f>'DCP3 causes and BoD CIV'!B117</f>
        <v>HC28</v>
      </c>
      <c r="G125" s="2" t="s">
        <v>114</v>
      </c>
      <c r="H125" s="2" t="s">
        <v>29</v>
      </c>
      <c r="I125" s="2" t="s">
        <v>310</v>
      </c>
      <c r="J125" s="2" t="str">
        <f t="shared" si="12"/>
        <v>HIV/AIDS: 0.00321743212592767</v>
      </c>
      <c r="K125" s="1" t="str">
        <f>J125</f>
        <v>HIV/AIDS: 0.00321743212592767</v>
      </c>
      <c r="L125" s="2">
        <v>1089</v>
      </c>
      <c r="M125" s="204">
        <f>'collected data-merged'!R117/'collected data-merged'!Q117</f>
        <v>1</v>
      </c>
      <c r="N125" s="205">
        <f t="shared" si="13"/>
        <v>66.812019975892071</v>
      </c>
      <c r="O125" s="205">
        <f>'DCP3 causes and BoD CIV'!E117</f>
        <v>20765.6346306384</v>
      </c>
      <c r="P125" s="212">
        <f>N125/'DCP3 causes and BoD CIV'!E117</f>
        <v>3.217432125927666E-3</v>
      </c>
      <c r="Q125" s="213">
        <f t="shared" si="9"/>
        <v>3.217432125927666E-3</v>
      </c>
      <c r="R125" s="2">
        <f>'collected data-merged'!N117</f>
        <v>1495.2717007652736</v>
      </c>
      <c r="S125" s="2">
        <f t="shared" si="10"/>
        <v>2.7186758195732246</v>
      </c>
      <c r="T125" s="206">
        <f>'collected data-merged'!T117</f>
        <v>57167227.663657941</v>
      </c>
      <c r="U125" s="219">
        <f t="shared" si="11"/>
        <v>103940.41393392353</v>
      </c>
      <c r="V125" s="2">
        <v>2</v>
      </c>
      <c r="W125" s="2">
        <v>3</v>
      </c>
    </row>
    <row r="126" spans="1:23" hidden="1">
      <c r="A126" s="1" t="s">
        <v>2287</v>
      </c>
      <c r="B126" s="1" t="s">
        <v>2276</v>
      </c>
      <c r="C126" s="1">
        <v>1</v>
      </c>
      <c r="D126" s="1" t="str">
        <f>'collected data-merged'!D118</f>
        <v>HC29</v>
      </c>
      <c r="E126" s="1" t="s">
        <v>702</v>
      </c>
      <c r="F126" s="205" t="str">
        <f>'DCP3 causes and BoD CIV'!B118</f>
        <v>HC29</v>
      </c>
      <c r="G126" s="2" t="s">
        <v>151</v>
      </c>
      <c r="H126" s="2" t="s">
        <v>29</v>
      </c>
      <c r="I126" s="2" t="s">
        <v>320</v>
      </c>
      <c r="J126" s="2" t="str">
        <f t="shared" si="12"/>
        <v>Tuberculosis: 0.000697673044545525</v>
      </c>
      <c r="K126" s="1" t="s">
        <v>2175</v>
      </c>
      <c r="L126" s="2">
        <v>2301</v>
      </c>
      <c r="M126" s="204">
        <f>'collected data-merged'!R118/'collected data-merged'!Q118</f>
        <v>1</v>
      </c>
      <c r="N126" s="205">
        <f t="shared" si="13"/>
        <v>243.12429250923739</v>
      </c>
      <c r="O126" s="205">
        <f>'DCP3 causes and BoD CIV'!E118</f>
        <v>348478.83892033168</v>
      </c>
      <c r="P126" s="212">
        <f>N126/'DCP3 causes and BoD CIV'!E118</f>
        <v>6.9767304454552504E-4</v>
      </c>
      <c r="Q126" s="213">
        <f t="shared" si="9"/>
        <v>6.9767304454552504E-4</v>
      </c>
      <c r="R126" s="2">
        <f>'collected data-merged'!N118</f>
        <v>11496.949017467246</v>
      </c>
      <c r="S126" s="2">
        <f t="shared" si="10"/>
        <v>20.903543668122268</v>
      </c>
      <c r="T126" s="206">
        <f>'collected data-merged'!T118</f>
        <v>439551354.83580774</v>
      </c>
      <c r="U126" s="219">
        <f t="shared" si="11"/>
        <v>799184.28151965048</v>
      </c>
      <c r="V126" s="2">
        <v>3</v>
      </c>
      <c r="W126" s="2">
        <v>3</v>
      </c>
    </row>
    <row r="127" spans="1:23" ht="28.8" hidden="1">
      <c r="B127" s="1" t="s">
        <v>2277</v>
      </c>
      <c r="C127" s="1">
        <v>1</v>
      </c>
      <c r="D127" s="1" t="str">
        <f>'collected data-merged'!D134</f>
        <v>HC 5</v>
      </c>
      <c r="E127" s="1" t="s">
        <v>635</v>
      </c>
      <c r="F127" s="205" t="str">
        <f>'DCP3 causes and BoD CIV'!B134</f>
        <v>HC5</v>
      </c>
      <c r="G127" s="2" t="s">
        <v>70</v>
      </c>
      <c r="H127" s="2" t="s">
        <v>29</v>
      </c>
      <c r="I127" s="2" t="s">
        <v>562</v>
      </c>
      <c r="J127" s="2" t="str">
        <f t="shared" ref="J127:J158" si="14">CONCATENATE(I127, ":", " ", Q127)</f>
        <v>Other neonatal disorders: 0</v>
      </c>
      <c r="K127" s="1" t="s">
        <v>2176</v>
      </c>
      <c r="L127" s="2">
        <v>237</v>
      </c>
      <c r="M127" s="204">
        <f>'collected data-merged'!R134/'collected data-merged'!Q134</f>
        <v>4</v>
      </c>
      <c r="N127" s="205">
        <f t="shared" ref="N127:N158" si="15">((T127/L127)/FCFA_US__exchange)*Quality_reduction</f>
        <v>0</v>
      </c>
      <c r="O127" s="205">
        <f>'DCP3 causes and BoD CIV'!E134</f>
        <v>159398.58270545161</v>
      </c>
      <c r="P127" s="212">
        <f>N127/'DCP3 causes and BoD CIV'!E134</f>
        <v>0</v>
      </c>
      <c r="Q127" s="213">
        <f t="shared" ref="Q127:Q158" si="16">M127*P127</f>
        <v>0</v>
      </c>
      <c r="R127" s="2">
        <f>'collected data-merged'!N134</f>
        <v>0</v>
      </c>
      <c r="S127" s="2">
        <f t="shared" ref="S127:S158" si="17">R127/550</f>
        <v>0</v>
      </c>
      <c r="T127" s="206">
        <f>'collected data-merged'!T134</f>
        <v>0</v>
      </c>
      <c r="U127" s="219">
        <f t="shared" ref="U127:U158" si="18">T127/550</f>
        <v>0</v>
      </c>
      <c r="V127" s="2">
        <v>3</v>
      </c>
      <c r="W127" s="2">
        <v>3</v>
      </c>
    </row>
    <row r="128" spans="1:23" ht="57.6" hidden="1">
      <c r="B128" s="1" t="s">
        <v>2277</v>
      </c>
      <c r="C128" s="1">
        <v>1</v>
      </c>
      <c r="D128" s="1" t="str">
        <f>'collected data-merged'!D119</f>
        <v>HC3</v>
      </c>
      <c r="E128" s="1" t="s">
        <v>633</v>
      </c>
      <c r="F128" s="205" t="str">
        <f>'DCP3 causes and BoD CIV'!B119</f>
        <v>HC3</v>
      </c>
      <c r="G128" s="2" t="s">
        <v>199</v>
      </c>
      <c r="H128" s="2" t="s">
        <v>29</v>
      </c>
      <c r="I128" s="2" t="s">
        <v>2053</v>
      </c>
      <c r="J128" s="2" t="str">
        <f t="shared" si="14"/>
        <v>Maternal sepsis and other maternal infections; Indirect maternal deaths; Late maternal deaths; Neonatal preterm birth; Neonatal sepsis and other neonatal infections: 0.000052831124890081</v>
      </c>
      <c r="K128" s="1" t="s">
        <v>2229</v>
      </c>
      <c r="L128" s="2">
        <v>1675</v>
      </c>
      <c r="M128" s="204">
        <f>'collected data-merged'!R119/'collected data-merged'!Q119</f>
        <v>4</v>
      </c>
      <c r="N128" s="205">
        <f t="shared" si="15"/>
        <v>13.637197637213433</v>
      </c>
      <c r="O128" s="205">
        <f>'DCP3 causes and BoD CIV'!E119</f>
        <v>1032512.3809562344</v>
      </c>
      <c r="P128" s="212">
        <f>N128/'DCP3 causes and BoD CIV'!E119</f>
        <v>1.3207781222520255E-5</v>
      </c>
      <c r="Q128" s="213">
        <f t="shared" si="16"/>
        <v>5.283112489008102E-5</v>
      </c>
      <c r="R128" s="2">
        <f>'collected data-merged'!N119</f>
        <v>2802.9761396954591</v>
      </c>
      <c r="S128" s="2">
        <f t="shared" si="17"/>
        <v>5.0963202539917436</v>
      </c>
      <c r="T128" s="206">
        <f>'collected data-merged'!T119</f>
        <v>17947526.176118392</v>
      </c>
      <c r="U128" s="219">
        <f t="shared" si="18"/>
        <v>32631.865774760714</v>
      </c>
      <c r="V128" s="2">
        <v>3</v>
      </c>
      <c r="W128" s="2">
        <v>2</v>
      </c>
    </row>
    <row r="129" spans="1:23" ht="28.8" hidden="1">
      <c r="B129" s="1" t="s">
        <v>2277</v>
      </c>
      <c r="C129" s="1">
        <v>1</v>
      </c>
      <c r="D129" s="1" t="str">
        <f>'collected data-merged'!D120</f>
        <v>HC31</v>
      </c>
      <c r="E129" s="1" t="s">
        <v>732</v>
      </c>
      <c r="F129" s="205" t="str">
        <f>'DCP3 causes and BoD CIV'!B120</f>
        <v>HC31</v>
      </c>
      <c r="G129" s="2" t="s">
        <v>438</v>
      </c>
      <c r="H129" s="2" t="s">
        <v>29</v>
      </c>
      <c r="I129" s="2" t="s">
        <v>2054</v>
      </c>
      <c r="J129" s="2" t="str">
        <f t="shared" si="14"/>
        <v>Typhoid and paratyphoid; Dengue; Yellow fever; Encephalitis: 0</v>
      </c>
      <c r="K129" s="1" t="s">
        <v>2231</v>
      </c>
      <c r="L129" s="2">
        <v>64</v>
      </c>
      <c r="M129" s="204">
        <f>'collected data-merged'!R120/'collected data-merged'!Q120</f>
        <v>4</v>
      </c>
      <c r="N129" s="205">
        <f t="shared" si="15"/>
        <v>0</v>
      </c>
      <c r="O129" s="205">
        <f>'DCP3 causes and BoD CIV'!E120</f>
        <v>56266.795159562986</v>
      </c>
      <c r="P129" s="212">
        <f>N129/'DCP3 causes and BoD CIV'!E120</f>
        <v>0</v>
      </c>
      <c r="Q129" s="213">
        <f t="shared" si="16"/>
        <v>0</v>
      </c>
      <c r="R129" s="2">
        <f>'collected data-merged'!N120</f>
        <v>0</v>
      </c>
      <c r="S129" s="2">
        <f t="shared" si="17"/>
        <v>0</v>
      </c>
      <c r="T129" s="206">
        <f>'collected data-merged'!T120</f>
        <v>0</v>
      </c>
      <c r="U129" s="219">
        <f t="shared" si="18"/>
        <v>0</v>
      </c>
      <c r="V129" s="2">
        <v>2</v>
      </c>
      <c r="W129" s="2">
        <v>2</v>
      </c>
    </row>
    <row r="130" spans="1:23" ht="28.8" hidden="1">
      <c r="B130" s="1" t="s">
        <v>2277</v>
      </c>
      <c r="C130" s="1">
        <v>1</v>
      </c>
      <c r="D130" s="1" t="str">
        <f>'collected data-merged'!D121</f>
        <v>HC32</v>
      </c>
      <c r="E130" s="1" t="s">
        <v>733</v>
      </c>
      <c r="F130" s="205" t="str">
        <f>'DCP3 causes and BoD CIV'!B121</f>
        <v>HC32</v>
      </c>
      <c r="G130" s="2" t="s">
        <v>206</v>
      </c>
      <c r="H130" s="2" t="s">
        <v>29</v>
      </c>
      <c r="I130" s="2" t="s">
        <v>2317</v>
      </c>
      <c r="J130" s="2" t="str">
        <f t="shared" si="14"/>
        <v>Malaria, Dengue; Zika virus; Encephalitis; Yellow fever: 5.29635371742885</v>
      </c>
      <c r="K130" s="1" t="s">
        <v>2343</v>
      </c>
      <c r="L130" s="2">
        <v>27</v>
      </c>
      <c r="M130" s="204">
        <f>'collected data-merged'!R121/'collected data-merged'!Q121</f>
        <v>1.3559322033898307</v>
      </c>
      <c r="N130" s="205">
        <f t="shared" si="15"/>
        <v>4441816.2767308559</v>
      </c>
      <c r="O130" s="205">
        <f>'DCP3 causes and BoD CIV'!E121</f>
        <v>1137160.0260271679</v>
      </c>
      <c r="P130" s="212">
        <f>N130/'DCP3 causes and BoD CIV'!E121</f>
        <v>3.9060608666037795</v>
      </c>
      <c r="Q130" s="213">
        <f t="shared" si="16"/>
        <v>5.296353717428854</v>
      </c>
      <c r="R130" s="2">
        <f>'collected data-merged'!N121</f>
        <v>6500</v>
      </c>
      <c r="S130" s="2">
        <f t="shared" si="17"/>
        <v>11.818181818181818</v>
      </c>
      <c r="T130" s="206">
        <f>'collected data-merged'!T121</f>
        <v>94229959584.933167</v>
      </c>
      <c r="U130" s="219">
        <f t="shared" si="18"/>
        <v>171327199.24533302</v>
      </c>
      <c r="V130" s="2">
        <v>2</v>
      </c>
      <c r="W130" s="2">
        <v>1</v>
      </c>
    </row>
    <row r="131" spans="1:23" ht="28.8" hidden="1">
      <c r="A131" s="1" t="s">
        <v>2280</v>
      </c>
      <c r="B131" s="1" t="s">
        <v>2277</v>
      </c>
      <c r="C131" s="1">
        <v>0</v>
      </c>
      <c r="D131" s="1" t="str">
        <f>'collected data-merged'!D122</f>
        <v>HC36</v>
      </c>
      <c r="E131" s="1" t="s">
        <v>742</v>
      </c>
      <c r="F131" s="205" t="str">
        <f>'DCP3 causes and BoD CIV'!B122</f>
        <v>HC36</v>
      </c>
      <c r="G131" s="2" t="s">
        <v>451</v>
      </c>
      <c r="H131" s="2" t="s">
        <v>29</v>
      </c>
      <c r="I131" s="2" t="s">
        <v>2056</v>
      </c>
      <c r="J131" s="1" t="str">
        <f t="shared" si="14"/>
        <v>Cardiovascular diseases; Chronic respiratory diseases: 0</v>
      </c>
      <c r="K131" s="1" t="e">
        <v>#DIV/0!</v>
      </c>
      <c r="L131" s="2">
        <v>402.5</v>
      </c>
      <c r="M131" s="204">
        <f>'collected data-merged'!R122/'collected data-merged'!Q122</f>
        <v>1.5000000000000002</v>
      </c>
      <c r="N131" s="205">
        <f t="shared" si="15"/>
        <v>0</v>
      </c>
      <c r="O131" s="205">
        <f>'DCP3 causes and BoD CIV'!E122</f>
        <v>117597.6214968026</v>
      </c>
      <c r="P131" s="212">
        <f>N131/'DCP3 causes and BoD CIV'!E122</f>
        <v>0</v>
      </c>
      <c r="Q131" s="213">
        <f t="shared" si="16"/>
        <v>0</v>
      </c>
      <c r="R131" s="2">
        <f>'collected data-merged'!N122</f>
        <v>16972.105744707394</v>
      </c>
      <c r="S131" s="2">
        <f t="shared" si="17"/>
        <v>30.858374081286172</v>
      </c>
      <c r="T131" s="206">
        <f>'collected data-merged'!T122</f>
        <v>0</v>
      </c>
      <c r="U131" s="219">
        <f t="shared" si="18"/>
        <v>0</v>
      </c>
      <c r="V131" s="2">
        <v>2</v>
      </c>
      <c r="W131" s="2">
        <v>1</v>
      </c>
    </row>
    <row r="132" spans="1:23" ht="28.8" hidden="1">
      <c r="B132" s="1" t="s">
        <v>2277</v>
      </c>
      <c r="C132" s="1">
        <v>1</v>
      </c>
      <c r="D132" s="1" t="str">
        <f>'collected data-merged'!D123</f>
        <v>HC37</v>
      </c>
      <c r="E132" s="1" t="s">
        <v>743</v>
      </c>
      <c r="F132" s="205" t="str">
        <f>'DCP3 causes and BoD CIV'!B123</f>
        <v>HC37</v>
      </c>
      <c r="G132" s="2" t="s">
        <v>129</v>
      </c>
      <c r="H132" s="2" t="s">
        <v>29</v>
      </c>
      <c r="I132" s="2" t="s">
        <v>2034</v>
      </c>
      <c r="J132" s="2" t="str">
        <f t="shared" si="14"/>
        <v>Chronic obstructive pulmonary disease; Asthma: 0.094064248646715</v>
      </c>
      <c r="K132" s="1" t="s">
        <v>2335</v>
      </c>
      <c r="L132" s="2">
        <v>1100</v>
      </c>
      <c r="M132" s="204">
        <f>'collected data-merged'!R123/'collected data-merged'!Q123</f>
        <v>1.5000000000000002</v>
      </c>
      <c r="N132" s="205">
        <f t="shared" si="15"/>
        <v>11002.208004424463</v>
      </c>
      <c r="O132" s="205">
        <f>'DCP3 causes and BoD CIV'!E123</f>
        <v>175447.23148344667</v>
      </c>
      <c r="P132" s="212">
        <f>N132/'DCP3 causes and BoD CIV'!E123</f>
        <v>6.2709499097810012E-2</v>
      </c>
      <c r="Q132" s="213">
        <f t="shared" si="16"/>
        <v>9.4064248646715032E-2</v>
      </c>
      <c r="R132" s="2">
        <f>'collected data-merged'!N123</f>
        <v>120000</v>
      </c>
      <c r="S132" s="2">
        <f t="shared" si="17"/>
        <v>218.18181818181819</v>
      </c>
      <c r="T132" s="206">
        <f>'collected data-merged'!T123</f>
        <v>9509051203.8240013</v>
      </c>
      <c r="U132" s="219">
        <f t="shared" si="18"/>
        <v>17289184.006952729</v>
      </c>
      <c r="V132" s="2">
        <v>2</v>
      </c>
      <c r="W132" s="2">
        <v>1</v>
      </c>
    </row>
    <row r="133" spans="1:23" hidden="1">
      <c r="B133" s="1" t="s">
        <v>2277</v>
      </c>
      <c r="C133" s="1">
        <v>1</v>
      </c>
      <c r="D133" s="1" t="str">
        <f>'collected data-merged'!D124</f>
        <v>HC38</v>
      </c>
      <c r="E133" s="1" t="s">
        <v>744</v>
      </c>
      <c r="F133" s="205" t="str">
        <f>'DCP3 causes and BoD CIV'!B124</f>
        <v>HC38</v>
      </c>
      <c r="G133" s="2" t="s">
        <v>31</v>
      </c>
      <c r="H133" s="2" t="s">
        <v>29</v>
      </c>
      <c r="I133" s="2" t="s">
        <v>480</v>
      </c>
      <c r="J133" s="2" t="str">
        <f t="shared" si="14"/>
        <v>Ischemic heart disease: 0.00144519225866172</v>
      </c>
      <c r="K133" s="1" t="str">
        <f>J133</f>
        <v>Ischemic heart disease: 0.00144519225866172</v>
      </c>
      <c r="L133" s="6">
        <v>1385.72</v>
      </c>
      <c r="M133" s="204">
        <f>'collected data-merged'!R124/'collected data-merged'!Q124</f>
        <v>1.5000000000000002</v>
      </c>
      <c r="N133" s="205">
        <f t="shared" si="15"/>
        <v>286.03084640291638</v>
      </c>
      <c r="O133" s="205">
        <f>'DCP3 causes and BoD CIV'!E124</f>
        <v>296878.33368390769</v>
      </c>
      <c r="P133" s="212">
        <f>N133/'DCP3 causes and BoD CIV'!E124</f>
        <v>9.6346150577448055E-4</v>
      </c>
      <c r="Q133" s="213">
        <f t="shared" si="16"/>
        <v>1.445192258661721E-3</v>
      </c>
      <c r="R133" s="2">
        <f>'collected data-merged'!N124</f>
        <v>8626.0030276564758</v>
      </c>
      <c r="S133" s="2">
        <f t="shared" si="17"/>
        <v>15.683641868466319</v>
      </c>
      <c r="T133" s="206">
        <f>'collected data-merged'!T124</f>
        <v>311424664.9465673</v>
      </c>
      <c r="U133" s="219">
        <f t="shared" si="18"/>
        <v>566226.66353921324</v>
      </c>
      <c r="V133" s="2">
        <v>1</v>
      </c>
      <c r="W133" s="2">
        <v>1</v>
      </c>
    </row>
    <row r="134" spans="1:23" ht="28.8" hidden="1">
      <c r="B134" s="1" t="s">
        <v>2277</v>
      </c>
      <c r="C134" s="1">
        <v>1</v>
      </c>
      <c r="D134" s="1" t="str">
        <f>'collected data-merged'!D125</f>
        <v>HC39</v>
      </c>
      <c r="E134" s="1" t="s">
        <v>745</v>
      </c>
      <c r="F134" s="205" t="str">
        <f>'DCP3 causes and BoD CIV'!B125</f>
        <v>HC39</v>
      </c>
      <c r="G134" s="2" t="s">
        <v>494</v>
      </c>
      <c r="H134" s="2" t="s">
        <v>29</v>
      </c>
      <c r="I134" s="2" t="s">
        <v>496</v>
      </c>
      <c r="J134" s="2" t="str">
        <f t="shared" si="14"/>
        <v>Chronic kidney disease: 0.0339434045841192</v>
      </c>
      <c r="K134" s="1" t="str">
        <f>J134</f>
        <v>Chronic kidney disease: 0.0339434045841192</v>
      </c>
      <c r="L134" s="2">
        <v>4813</v>
      </c>
      <c r="M134" s="204">
        <f>'collected data-merged'!R125/'collected data-merged'!Q125</f>
        <v>1.5000000000000002</v>
      </c>
      <c r="N134" s="205">
        <f t="shared" si="15"/>
        <v>2820.5092005868896</v>
      </c>
      <c r="O134" s="205">
        <f>'DCP3 causes and BoD CIV'!E125</f>
        <v>124641.7044111049</v>
      </c>
      <c r="P134" s="212">
        <f>N134/'DCP3 causes and BoD CIV'!E125</f>
        <v>2.2628936389412831E-2</v>
      </c>
      <c r="Q134" s="213">
        <f t="shared" si="16"/>
        <v>3.3943404584119249E-2</v>
      </c>
      <c r="R134" s="2">
        <f>'collected data-merged'!N125</f>
        <v>36254.22720904681</v>
      </c>
      <c r="S134" s="2">
        <f t="shared" si="17"/>
        <v>65.916776743721471</v>
      </c>
      <c r="T134" s="206">
        <f>'collected data-merged'!T125</f>
        <v>10666158471.905123</v>
      </c>
      <c r="U134" s="219">
        <f t="shared" si="18"/>
        <v>19393015.403463859</v>
      </c>
      <c r="V134" s="2">
        <v>2</v>
      </c>
      <c r="W134" s="2">
        <v>1</v>
      </c>
    </row>
    <row r="135" spans="1:23" hidden="1">
      <c r="B135" s="1" t="s">
        <v>2277</v>
      </c>
      <c r="C135" s="1">
        <v>1</v>
      </c>
      <c r="D135" s="1" t="str">
        <f>'collected data-merged'!D126</f>
        <v>HC4</v>
      </c>
      <c r="E135" s="1" t="s">
        <v>634</v>
      </c>
      <c r="F135" s="205" t="str">
        <f>'DCP3 causes and BoD CIV'!B126</f>
        <v>HC4</v>
      </c>
      <c r="G135" s="2" t="s">
        <v>66</v>
      </c>
      <c r="H135" s="2" t="s">
        <v>29</v>
      </c>
      <c r="I135" s="2" t="s">
        <v>2018</v>
      </c>
      <c r="J135" s="2" t="str">
        <f t="shared" si="14"/>
        <v>HIV/AIDS and sexually transmitted infections: 0.0469357230609036</v>
      </c>
      <c r="K135" s="1" t="s">
        <v>2336</v>
      </c>
      <c r="L135" s="6">
        <v>402.5</v>
      </c>
      <c r="M135" s="204">
        <f>'collected data-merged'!R126/'collected data-merged'!Q126</f>
        <v>2.3738872403560829</v>
      </c>
      <c r="N135" s="205">
        <f t="shared" si="15"/>
        <v>2074.5884074068563</v>
      </c>
      <c r="O135" s="205">
        <f>'DCP3 causes and BoD CIV'!E126</f>
        <v>104927.3054330778</v>
      </c>
      <c r="P135" s="212">
        <f>N135/'DCP3 causes and BoD CIV'!E126</f>
        <v>1.9771673339405636E-2</v>
      </c>
      <c r="Q135" s="213">
        <f t="shared" si="16"/>
        <v>4.6935723060903579E-2</v>
      </c>
      <c r="R135" s="2">
        <f>'collected data-merged'!N126</f>
        <v>3457.5279696455482</v>
      </c>
      <c r="S135" s="2">
        <f t="shared" si="17"/>
        <v>6.2864144902646331</v>
      </c>
      <c r="T135" s="206">
        <f>'collected data-merged'!T126</f>
        <v>656088583.84241831</v>
      </c>
      <c r="U135" s="219">
        <f t="shared" si="18"/>
        <v>1192888.3342589424</v>
      </c>
      <c r="V135" s="2">
        <v>2</v>
      </c>
      <c r="W135" s="2">
        <v>2</v>
      </c>
    </row>
    <row r="136" spans="1:23" ht="28.8" hidden="1">
      <c r="B136" s="1" t="s">
        <v>2277</v>
      </c>
      <c r="C136" s="1">
        <v>1</v>
      </c>
      <c r="D136" s="1" t="str">
        <f>'collected data-merged'!D127</f>
        <v>HC40</v>
      </c>
      <c r="E136" s="1" t="s">
        <v>746</v>
      </c>
      <c r="F136" s="205" t="str">
        <f>'DCP3 causes and BoD CIV'!B127</f>
        <v>HC40</v>
      </c>
      <c r="G136" s="2" t="s">
        <v>77</v>
      </c>
      <c r="H136" s="2" t="s">
        <v>29</v>
      </c>
      <c r="I136" s="2" t="s">
        <v>498</v>
      </c>
      <c r="J136" s="2" t="str">
        <f>CONCATENATE(I136, ":", " ", Q136)</f>
        <v>Diabetes mellitus: 856.288596324242</v>
      </c>
      <c r="K136" s="1" t="s">
        <v>2235</v>
      </c>
      <c r="L136" s="2">
        <v>1</v>
      </c>
      <c r="M136" s="204">
        <f>'collected data-merged'!R127/'collected data-merged'!Q127</f>
        <v>1.5000000000000002</v>
      </c>
      <c r="N136" s="205">
        <f t="shared" si="15"/>
        <v>85560739.803778902</v>
      </c>
      <c r="O136" s="205">
        <f>'DCP3 causes and BoD CIV'!E127</f>
        <v>149880.6713724712</v>
      </c>
      <c r="P136" s="212">
        <f>N136/'DCP3 causes and BoD CIV'!E127</f>
        <v>570.8590642161613</v>
      </c>
      <c r="Q136" s="213">
        <f t="shared" si="16"/>
        <v>856.28859632424212</v>
      </c>
      <c r="R136" s="2">
        <f>'collected data-merged'!N127</f>
        <v>400000</v>
      </c>
      <c r="S136" s="2">
        <f t="shared" si="17"/>
        <v>727.27272727272725</v>
      </c>
      <c r="T136" s="206">
        <f>'collected data-merged'!T127</f>
        <v>67226295560.112</v>
      </c>
      <c r="U136" s="219">
        <f t="shared" si="18"/>
        <v>122229628.29111272</v>
      </c>
      <c r="V136" s="2">
        <v>3</v>
      </c>
      <c r="W136" s="2">
        <v>1</v>
      </c>
    </row>
    <row r="137" spans="1:23" ht="28.8" hidden="1">
      <c r="A137" s="1" t="s">
        <v>2279</v>
      </c>
      <c r="B137" s="1" t="s">
        <v>2277</v>
      </c>
      <c r="C137" s="1">
        <v>1</v>
      </c>
      <c r="D137" s="1" t="str">
        <f>'collected data-merged'!D128</f>
        <v>HC41</v>
      </c>
      <c r="E137" s="1" t="s">
        <v>747</v>
      </c>
      <c r="F137" s="205" t="str">
        <f>'DCP3 causes and BoD CIV'!B128</f>
        <v>HC41</v>
      </c>
      <c r="G137" s="2" t="s">
        <v>239</v>
      </c>
      <c r="H137" s="2" t="s">
        <v>29</v>
      </c>
      <c r="I137" s="2" t="s">
        <v>504</v>
      </c>
      <c r="J137" s="2" t="str">
        <f t="shared" si="14"/>
        <v>Rheumatic heart disease: 0.000817098583093305</v>
      </c>
      <c r="K137" s="1" t="s">
        <v>2236</v>
      </c>
      <c r="L137" s="6">
        <v>402.5</v>
      </c>
      <c r="M137" s="204">
        <f>'collected data-merged'!R128/'collected data-merged'!Q128</f>
        <v>1.5000000000000002</v>
      </c>
      <c r="N137" s="205">
        <f t="shared" si="15"/>
        <v>15.451556238367914</v>
      </c>
      <c r="O137" s="205">
        <f>'DCP3 causes and BoD CIV'!E128</f>
        <v>28365.407598443049</v>
      </c>
      <c r="P137" s="212">
        <f>N137/'DCP3 causes and BoD CIV'!E128</f>
        <v>5.4473238872886976E-4</v>
      </c>
      <c r="Q137" s="213">
        <f t="shared" si="16"/>
        <v>8.170985830933048E-4</v>
      </c>
      <c r="R137" s="2">
        <f>'collected data-merged'!N128</f>
        <v>113.77048956077172</v>
      </c>
      <c r="S137" s="2">
        <f t="shared" si="17"/>
        <v>0.20685543556503949</v>
      </c>
      <c r="T137" s="206">
        <f>'collected data-merged'!T128</f>
        <v>4886554.6603838531</v>
      </c>
      <c r="U137" s="219">
        <f t="shared" si="18"/>
        <v>8884.6448370615508</v>
      </c>
      <c r="V137" s="2">
        <v>0</v>
      </c>
      <c r="W137" s="2">
        <v>1</v>
      </c>
    </row>
    <row r="138" spans="1:23" hidden="1">
      <c r="A138" s="1" t="s">
        <v>2279</v>
      </c>
      <c r="B138" s="1" t="s">
        <v>2277</v>
      </c>
      <c r="C138" s="1">
        <v>1</v>
      </c>
      <c r="D138" s="1" t="str">
        <f>'collected data-merged'!D129</f>
        <v>HC43</v>
      </c>
      <c r="E138" s="1" t="s">
        <v>749</v>
      </c>
      <c r="F138" s="205" t="str">
        <f>'DCP3 causes and BoD CIV'!B129</f>
        <v>HC43</v>
      </c>
      <c r="G138" s="2" t="s">
        <v>118</v>
      </c>
      <c r="H138" s="2" t="s">
        <v>29</v>
      </c>
      <c r="I138" s="2" t="s">
        <v>2057</v>
      </c>
      <c r="J138" s="2" t="str">
        <f t="shared" si="14"/>
        <v>Cardiovascular diseases; Chronic kidney disease: 0.103658761954818</v>
      </c>
      <c r="K138" s="1" t="s">
        <v>2309</v>
      </c>
      <c r="L138" s="6">
        <v>402.5</v>
      </c>
      <c r="M138" s="204">
        <f>'collected data-merged'!R129/'collected data-merged'!Q129</f>
        <v>1.5000000000000002</v>
      </c>
      <c r="N138" s="205">
        <f t="shared" si="15"/>
        <v>59028.976644758739</v>
      </c>
      <c r="O138" s="205">
        <f>'DCP3 causes and BoD CIV'!E129</f>
        <v>854182.15785494517</v>
      </c>
      <c r="P138" s="212">
        <f>N138/'DCP3 causes and BoD CIV'!E129</f>
        <v>6.9105841303211665E-2</v>
      </c>
      <c r="Q138" s="213">
        <f t="shared" si="16"/>
        <v>0.10365876195481752</v>
      </c>
      <c r="R138" s="2">
        <f>'collected data-merged'!N129</f>
        <v>56862.120864074757</v>
      </c>
      <c r="S138" s="2">
        <f t="shared" si="17"/>
        <v>103.38567429831774</v>
      </c>
      <c r="T138" s="206">
        <f>'collected data-merged'!T129</f>
        <v>18667913863.904953</v>
      </c>
      <c r="U138" s="219">
        <f t="shared" si="18"/>
        <v>33941661.570736282</v>
      </c>
      <c r="V138" s="2">
        <v>2</v>
      </c>
      <c r="W138" s="2">
        <v>1</v>
      </c>
    </row>
    <row r="139" spans="1:23" hidden="1">
      <c r="B139" s="1" t="s">
        <v>2277</v>
      </c>
      <c r="C139" s="1">
        <v>1</v>
      </c>
      <c r="D139" s="1" t="str">
        <f>'collected data-merged'!D130</f>
        <v>HC44</v>
      </c>
      <c r="E139" s="1" t="s">
        <v>750</v>
      </c>
      <c r="F139" s="205" t="str">
        <f>'DCP3 causes and BoD CIV'!B130</f>
        <v>HC44</v>
      </c>
      <c r="G139" s="2" t="s">
        <v>178</v>
      </c>
      <c r="H139" s="2" t="s">
        <v>29</v>
      </c>
      <c r="I139" s="2" t="s">
        <v>2057</v>
      </c>
      <c r="J139" s="2" t="str">
        <f t="shared" si="14"/>
        <v>Cardiovascular diseases; Chronic kidney disease: 0.920644784437875</v>
      </c>
      <c r="K139" s="1" t="s">
        <v>2308</v>
      </c>
      <c r="L139" s="2">
        <v>172</v>
      </c>
      <c r="M139" s="204">
        <f>'collected data-merged'!R130/'collected data-merged'!Q130</f>
        <v>1.5000000000000002</v>
      </c>
      <c r="N139" s="205">
        <f t="shared" si="15"/>
        <v>524265.56572602992</v>
      </c>
      <c r="O139" s="205">
        <f>'DCP3 causes and BoD CIV'!E130</f>
        <v>854182.15785494517</v>
      </c>
      <c r="P139" s="212">
        <f>N139/'DCP3 causes and BoD CIV'!E130</f>
        <v>0.61376318962525001</v>
      </c>
      <c r="Q139" s="213">
        <f t="shared" si="16"/>
        <v>0.92064478443787512</v>
      </c>
      <c r="R139" s="2">
        <f>'collected data-merged'!N130</f>
        <v>215810.06520269992</v>
      </c>
      <c r="S139" s="2">
        <f t="shared" si="17"/>
        <v>392.38193673218166</v>
      </c>
      <c r="T139" s="206">
        <f>'collected data-merged'!T130</f>
        <v>70850746453.832047</v>
      </c>
      <c r="U139" s="219">
        <f t="shared" si="18"/>
        <v>128819539.00696735</v>
      </c>
      <c r="V139" s="2">
        <v>4</v>
      </c>
      <c r="W139" s="2">
        <v>3</v>
      </c>
    </row>
    <row r="140" spans="1:23" hidden="1">
      <c r="B140" s="1" t="s">
        <v>2277</v>
      </c>
      <c r="C140" s="1">
        <v>1</v>
      </c>
      <c r="D140" s="1" t="str">
        <f>'collected data-merged'!D131</f>
        <v>HC45</v>
      </c>
      <c r="E140" s="1" t="s">
        <v>751</v>
      </c>
      <c r="F140" s="205" t="str">
        <f>'DCP3 causes and BoD CIV'!B131</f>
        <v>HC45</v>
      </c>
      <c r="G140" s="2" t="s">
        <v>186</v>
      </c>
      <c r="H140" s="2" t="s">
        <v>29</v>
      </c>
      <c r="I140" s="2" t="s">
        <v>2057</v>
      </c>
      <c r="J140" s="2" t="str">
        <f t="shared" si="14"/>
        <v>Cardiovascular diseases; Chronic kidney disease: 0.000218251276054814</v>
      </c>
      <c r="K140" s="1" t="s">
        <v>2263</v>
      </c>
      <c r="L140" s="2">
        <v>4393</v>
      </c>
      <c r="M140" s="204">
        <f>'collected data-merged'!R131/'collected data-merged'!Q131</f>
        <v>1.5000000000000002</v>
      </c>
      <c r="N140" s="205">
        <f t="shared" si="15"/>
        <v>124.28423062339779</v>
      </c>
      <c r="O140" s="205">
        <f>'DCP3 causes and BoD CIV'!E131</f>
        <v>854182.15785494517</v>
      </c>
      <c r="P140" s="212">
        <f>N140/'DCP3 causes and BoD CIV'!E131</f>
        <v>1.455008507032096E-4</v>
      </c>
      <c r="Q140" s="213">
        <f t="shared" si="16"/>
        <v>2.1825127605481443E-4</v>
      </c>
      <c r="R140" s="2">
        <f>'collected data-merged'!N131</f>
        <v>1306.6797077603296</v>
      </c>
      <c r="S140" s="2">
        <f t="shared" si="17"/>
        <v>2.375781286836963</v>
      </c>
      <c r="T140" s="206">
        <f>'collected data-merged'!T131</f>
        <v>428984776.88674659</v>
      </c>
      <c r="U140" s="219">
        <f t="shared" si="18"/>
        <v>779972.32161226647</v>
      </c>
      <c r="V140" s="2">
        <v>0</v>
      </c>
      <c r="W140" s="2">
        <v>1</v>
      </c>
    </row>
    <row r="141" spans="1:23" ht="86.4" hidden="1">
      <c r="B141" s="1" t="s">
        <v>2277</v>
      </c>
      <c r="C141" s="1">
        <v>1</v>
      </c>
      <c r="D141" s="1" t="str">
        <f>'collected data-merged'!D132</f>
        <v>HC46</v>
      </c>
      <c r="E141" s="1" t="s">
        <v>752</v>
      </c>
      <c r="F141" s="205" t="str">
        <f>'DCP3 causes and BoD CIV'!B132</f>
        <v>HC46</v>
      </c>
      <c r="G141" s="2" t="s">
        <v>511</v>
      </c>
      <c r="H141" s="2" t="s">
        <v>29</v>
      </c>
      <c r="I141" s="2" t="s">
        <v>2058</v>
      </c>
      <c r="J141" s="2" t="str">
        <f t="shared" si="14"/>
        <v>Cardiovascular diseases; Lip and oral cavity cancer; Nasopharynx cancer; Other pharynx cancer; Esophageal cancer; Stomach cancer; Pancreatic cancer; Larynx cancer; Tracheal, bronchus, and lung cancer; Cervical cancer; Acute myeloid leukemia: 0</v>
      </c>
      <c r="K141" s="1" t="s">
        <v>2237</v>
      </c>
      <c r="L141" s="2">
        <v>96</v>
      </c>
      <c r="M141" s="204">
        <f>'collected data-merged'!R132/'collected data-merged'!Q132</f>
        <v>1.5000000000000002</v>
      </c>
      <c r="N141" s="205">
        <f t="shared" si="15"/>
        <v>0</v>
      </c>
      <c r="O141" s="205">
        <f>'DCP3 causes and BoD CIV'!E132</f>
        <v>21121.279214217771</v>
      </c>
      <c r="P141" s="212">
        <f>N141/'DCP3 causes and BoD CIV'!E132</f>
        <v>0</v>
      </c>
      <c r="Q141" s="213">
        <f t="shared" si="16"/>
        <v>0</v>
      </c>
      <c r="R141" s="2">
        <f>'collected data-merged'!N132</f>
        <v>9790.792908780315</v>
      </c>
      <c r="S141" s="2">
        <f t="shared" si="17"/>
        <v>17.801441652327846</v>
      </c>
      <c r="T141" s="206">
        <f>'collected data-merged'!T132</f>
        <v>0</v>
      </c>
      <c r="U141" s="219">
        <f t="shared" si="18"/>
        <v>0</v>
      </c>
      <c r="V141" s="2">
        <v>1</v>
      </c>
      <c r="W141" s="2">
        <v>1</v>
      </c>
    </row>
    <row r="142" spans="1:23" ht="28.8" hidden="1">
      <c r="A142" s="1" t="s">
        <v>2281</v>
      </c>
      <c r="B142" s="1" t="s">
        <v>2277</v>
      </c>
      <c r="C142" s="1">
        <v>1</v>
      </c>
      <c r="D142" s="1" t="str">
        <f>'collected data-merged'!D133</f>
        <v>HC49</v>
      </c>
      <c r="E142" s="1" t="s">
        <v>763</v>
      </c>
      <c r="F142" s="205" t="str">
        <f>'DCP3 causes and BoD CIV'!B133</f>
        <v>HC49</v>
      </c>
      <c r="G142" s="2" t="s">
        <v>41</v>
      </c>
      <c r="H142" s="2" t="s">
        <v>10</v>
      </c>
      <c r="I142" s="2" t="s">
        <v>457</v>
      </c>
      <c r="J142" s="2" t="str">
        <f t="shared" si="14"/>
        <v>Bipolar disorder: 0.118873630142933</v>
      </c>
      <c r="K142" s="1" t="str">
        <f>J142</f>
        <v>Bipolar disorder: 0.118873630142933</v>
      </c>
      <c r="L142" s="2">
        <v>1499</v>
      </c>
      <c r="M142" s="204">
        <f>'collected data-merged'!R133/'collected data-merged'!Q133</f>
        <v>2</v>
      </c>
      <c r="N142" s="205">
        <f t="shared" si="15"/>
        <v>1626.9266251728372</v>
      </c>
      <c r="O142" s="205">
        <f>'DCP3 causes and BoD CIV'!E133</f>
        <v>27372.372211004818</v>
      </c>
      <c r="P142" s="212">
        <f>N142/'DCP3 causes and BoD CIV'!E133</f>
        <v>5.943681507146633E-2</v>
      </c>
      <c r="Q142" s="213">
        <f t="shared" si="16"/>
        <v>0.11887363014293266</v>
      </c>
      <c r="R142" s="2">
        <f>'collected data-merged'!N133</f>
        <v>135340.81228165937</v>
      </c>
      <c r="S142" s="2">
        <f t="shared" si="17"/>
        <v>246.07420414847158</v>
      </c>
      <c r="T142" s="206">
        <f>'collected data-merged'!T133</f>
        <v>1916170937.3196366</v>
      </c>
      <c r="U142" s="219">
        <f t="shared" si="18"/>
        <v>3483947.1587629756</v>
      </c>
      <c r="V142" s="2">
        <v>4</v>
      </c>
      <c r="W142" s="2">
        <v>1</v>
      </c>
    </row>
    <row r="143" spans="1:23" ht="28.8" hidden="1">
      <c r="A143" s="1" t="s">
        <v>2281</v>
      </c>
      <c r="B143" s="1" t="s">
        <v>2277</v>
      </c>
      <c r="C143" s="1">
        <v>1</v>
      </c>
      <c r="D143" s="1" t="str">
        <f>'collected data-merged'!D135</f>
        <v>HC50</v>
      </c>
      <c r="E143" s="1" t="s">
        <v>764</v>
      </c>
      <c r="F143" s="205" t="str">
        <f>'DCP3 causes and BoD CIV'!B135</f>
        <v>HC50</v>
      </c>
      <c r="G143" s="2" t="s">
        <v>211</v>
      </c>
      <c r="H143" s="2" t="s">
        <v>10</v>
      </c>
      <c r="I143" s="2" t="s">
        <v>2059</v>
      </c>
      <c r="J143" s="2" t="str">
        <f t="shared" si="14"/>
        <v>Depressive disorders; Anxiety disorders: 0.083426970579096</v>
      </c>
      <c r="K143" s="1" t="s">
        <v>2310</v>
      </c>
      <c r="L143" s="2">
        <v>437</v>
      </c>
      <c r="M143" s="204">
        <f>'collected data-merged'!R135/'collected data-merged'!Q135</f>
        <v>1.5000000000000002</v>
      </c>
      <c r="N143" s="205">
        <f t="shared" si="15"/>
        <v>9230.9272171109988</v>
      </c>
      <c r="O143" s="205">
        <f>'DCP3 causes and BoD CIV'!E135</f>
        <v>165970.19800136369</v>
      </c>
      <c r="P143" s="212">
        <f>N143/'DCP3 causes and BoD CIV'!E135</f>
        <v>5.5617980386063963E-2</v>
      </c>
      <c r="Q143" s="213">
        <f t="shared" si="16"/>
        <v>8.3426970579095955E-2</v>
      </c>
      <c r="R143" s="2">
        <f>'collected data-merged'!N135</f>
        <v>11814.837008733622</v>
      </c>
      <c r="S143" s="2">
        <f t="shared" si="17"/>
        <v>21.48152183406113</v>
      </c>
      <c r="T143" s="206">
        <f>'collected data-merged'!T135</f>
        <v>3169504795.1894698</v>
      </c>
      <c r="U143" s="219">
        <f t="shared" si="18"/>
        <v>5762735.9912535818</v>
      </c>
      <c r="V143" s="2">
        <v>3</v>
      </c>
      <c r="W143" s="2">
        <v>1</v>
      </c>
    </row>
    <row r="144" spans="1:23" ht="28.8" hidden="1">
      <c r="A144" s="1" t="s">
        <v>2281</v>
      </c>
      <c r="B144" s="1" t="s">
        <v>2277</v>
      </c>
      <c r="C144" s="1">
        <v>1</v>
      </c>
      <c r="D144" s="1" t="str">
        <f>'collected data-merged'!D136</f>
        <v>HC51</v>
      </c>
      <c r="E144" s="1" t="s">
        <v>765</v>
      </c>
      <c r="F144" s="205" t="str">
        <f>'DCP3 causes and BoD CIV'!B136</f>
        <v>HC51</v>
      </c>
      <c r="G144" s="2" t="s">
        <v>96</v>
      </c>
      <c r="H144" s="2" t="s">
        <v>10</v>
      </c>
      <c r="I144" s="2" t="s">
        <v>462</v>
      </c>
      <c r="J144" s="2" t="str">
        <f t="shared" si="14"/>
        <v>Epilepsy: 0.0990683399239395</v>
      </c>
      <c r="K144" s="1" t="str">
        <f>J144</f>
        <v>Epilepsy: 0.0990683399239395</v>
      </c>
      <c r="L144" s="2">
        <v>115</v>
      </c>
      <c r="M144" s="204">
        <f>'collected data-merged'!R136/'collected data-merged'!Q136</f>
        <v>1.5000000000000002</v>
      </c>
      <c r="N144" s="205">
        <f t="shared" si="15"/>
        <v>5920.1866229091765</v>
      </c>
      <c r="O144" s="205">
        <f>'DCP3 causes and BoD CIV'!E136</f>
        <v>89637.920057827476</v>
      </c>
      <c r="P144" s="212">
        <f>N144/'DCP3 causes and BoD CIV'!E136</f>
        <v>6.6045559949292981E-2</v>
      </c>
      <c r="Q144" s="213">
        <f t="shared" si="16"/>
        <v>9.9068339923939486E-2</v>
      </c>
      <c r="R144" s="2">
        <f>'collected data-merged'!N136</f>
        <v>20185.887445414839</v>
      </c>
      <c r="S144" s="2">
        <f t="shared" si="17"/>
        <v>36.701613537117886</v>
      </c>
      <c r="T144" s="206">
        <f>'collected data-merged'!T136</f>
        <v>534931148.42715067</v>
      </c>
      <c r="U144" s="219">
        <f t="shared" si="18"/>
        <v>972602.08804936486</v>
      </c>
      <c r="V144" s="2">
        <v>4</v>
      </c>
      <c r="W144" s="2">
        <v>3</v>
      </c>
    </row>
    <row r="145" spans="1:23" ht="28.8" hidden="1">
      <c r="A145" s="1" t="s">
        <v>2281</v>
      </c>
      <c r="B145" s="1" t="s">
        <v>2277</v>
      </c>
      <c r="C145" s="1">
        <v>1</v>
      </c>
      <c r="D145" s="1" t="str">
        <f>'collected data-merged'!D137</f>
        <v>HC52</v>
      </c>
      <c r="E145" s="1" t="s">
        <v>766</v>
      </c>
      <c r="F145" s="205" t="str">
        <f>'DCP3 causes and BoD CIV'!B137</f>
        <v>HC52</v>
      </c>
      <c r="G145" s="2" t="s">
        <v>237</v>
      </c>
      <c r="H145" s="2" t="s">
        <v>10</v>
      </c>
      <c r="I145" s="2" t="s">
        <v>471</v>
      </c>
      <c r="J145" s="2" t="str">
        <f t="shared" si="14"/>
        <v>Schizophrenia: 0.0307381325239653</v>
      </c>
      <c r="K145" s="1" t="str">
        <f>J145</f>
        <v>Schizophrenia: 0.0307381325239653</v>
      </c>
      <c r="L145" s="2">
        <v>1499</v>
      </c>
      <c r="M145" s="204">
        <f>'collected data-merged'!R137/'collected data-merged'!Q137</f>
        <v>1.5000000000000002</v>
      </c>
      <c r="N145" s="205">
        <f t="shared" si="15"/>
        <v>430.65317927217262</v>
      </c>
      <c r="O145" s="205">
        <f>'DCP3 causes and BoD CIV'!E137</f>
        <v>21015.58279132974</v>
      </c>
      <c r="P145" s="212">
        <f>N145/'DCP3 causes and BoD CIV'!E137</f>
        <v>2.0492088349310225E-2</v>
      </c>
      <c r="Q145" s="213">
        <f t="shared" si="16"/>
        <v>3.0738132523965341E-2</v>
      </c>
      <c r="R145" s="2">
        <f>'collected data-merged'!N137</f>
        <v>72911.142885735055</v>
      </c>
      <c r="S145" s="2">
        <f t="shared" si="17"/>
        <v>132.56571433770009</v>
      </c>
      <c r="T145" s="206">
        <f>'collected data-merged'!T137</f>
        <v>507217162.35848957</v>
      </c>
      <c r="U145" s="219">
        <f t="shared" si="18"/>
        <v>922213.02246998099</v>
      </c>
      <c r="V145" s="2">
        <v>4</v>
      </c>
      <c r="W145" s="2">
        <v>2</v>
      </c>
    </row>
    <row r="146" spans="1:23" ht="43.2" hidden="1">
      <c r="B146" s="1" t="s">
        <v>2277</v>
      </c>
      <c r="C146" s="1">
        <v>1</v>
      </c>
      <c r="D146" s="1" t="str">
        <f>'collected data-merged'!D138</f>
        <v>HC53</v>
      </c>
      <c r="E146" s="1" t="s">
        <v>767</v>
      </c>
      <c r="F146" s="205" t="str">
        <f>'DCP3 causes and BoD CIV'!B138</f>
        <v>HC53</v>
      </c>
      <c r="G146" s="2" t="s">
        <v>491</v>
      </c>
      <c r="H146" s="2" t="s">
        <v>29</v>
      </c>
      <c r="I146" s="2" t="s">
        <v>2060</v>
      </c>
      <c r="J146" s="2" t="str">
        <f t="shared" si="14"/>
        <v>Alcohol use disorders; Liver cancer due to alcohol use; Alcoholic cardiomyopathy; Cirrhosis and other chronic liver diseases due to alcohol use: 0.00559014673486758</v>
      </c>
      <c r="K146" s="1" t="s">
        <v>2337</v>
      </c>
      <c r="L146" s="2">
        <v>832</v>
      </c>
      <c r="M146" s="204">
        <f>'collected data-merged'!R138/'collected data-merged'!Q138</f>
        <v>1.5000000000000002</v>
      </c>
      <c r="N146" s="205">
        <f t="shared" si="15"/>
        <v>220.82010556327972</v>
      </c>
      <c r="O146" s="205">
        <f>'DCP3 causes and BoD CIV'!E138</f>
        <v>59252.498021014108</v>
      </c>
      <c r="P146" s="212">
        <f>N146/'DCP3 causes and BoD CIV'!E138</f>
        <v>3.726764489911718E-3</v>
      </c>
      <c r="Q146" s="213">
        <f t="shared" si="16"/>
        <v>5.5901467348675781E-3</v>
      </c>
      <c r="R146" s="2">
        <f>'collected data-merged'!N138</f>
        <v>3187.7101346433765</v>
      </c>
      <c r="S146" s="2">
        <f t="shared" si="17"/>
        <v>5.795836608442503</v>
      </c>
      <c r="T146" s="206">
        <f>'collected data-merged'!T138</f>
        <v>144353257.57965258</v>
      </c>
      <c r="U146" s="219">
        <f t="shared" si="18"/>
        <v>262460.46832664107</v>
      </c>
      <c r="V146" s="2">
        <v>1</v>
      </c>
      <c r="W146" s="2">
        <v>1</v>
      </c>
    </row>
    <row r="147" spans="1:23" ht="72" hidden="1">
      <c r="A147" s="1" t="s">
        <v>2280</v>
      </c>
      <c r="B147" s="1" t="s">
        <v>2277</v>
      </c>
      <c r="C147" s="1">
        <v>0</v>
      </c>
      <c r="D147" s="1" t="str">
        <f>'collected data-merged'!D139</f>
        <v>HC54</v>
      </c>
      <c r="E147" s="1" t="s">
        <v>770</v>
      </c>
      <c r="F147" s="205" t="str">
        <f>'DCP3 causes and BoD CIV'!B139</f>
        <v>HC54</v>
      </c>
      <c r="G147" s="2" t="s">
        <v>434</v>
      </c>
      <c r="H147" s="2" t="s">
        <v>29</v>
      </c>
      <c r="I147" s="2" t="s">
        <v>2061</v>
      </c>
      <c r="J147" s="1" t="str">
        <f t="shared" si="14"/>
        <v>Transport injuries; Unintentional injuries; Exposure to forces of nature; Other unintentional injuries; Exposure to mechanical forces; Foreign body; Self-harm and interpersonal violence; Other musculoskeletal disorders: 0</v>
      </c>
      <c r="K147" s="1" t="e">
        <v>#DIV/0!</v>
      </c>
      <c r="L147" s="2">
        <v>402.5</v>
      </c>
      <c r="M147" s="204">
        <f>'collected data-merged'!R139/'collected data-merged'!Q139</f>
        <v>1.5000000000000002</v>
      </c>
      <c r="N147" s="205">
        <f t="shared" si="15"/>
        <v>0</v>
      </c>
      <c r="O147" s="205">
        <f>'DCP3 causes and BoD CIV'!E139</f>
        <v>1071447.4475993661</v>
      </c>
      <c r="P147" s="212">
        <f>N147/'DCP3 causes and BoD CIV'!E139</f>
        <v>0</v>
      </c>
      <c r="Q147" s="213">
        <f t="shared" si="16"/>
        <v>0</v>
      </c>
      <c r="R147" s="2">
        <f>'collected data-merged'!N139</f>
        <v>4638.5098968183147</v>
      </c>
      <c r="S147" s="2">
        <f t="shared" si="17"/>
        <v>8.4336543578514807</v>
      </c>
      <c r="T147" s="206">
        <f>'collected data-merged'!T139</f>
        <v>0</v>
      </c>
      <c r="U147" s="219">
        <f t="shared" si="18"/>
        <v>0</v>
      </c>
      <c r="V147" s="2">
        <v>1</v>
      </c>
      <c r="W147" s="2">
        <v>1</v>
      </c>
    </row>
    <row r="148" spans="1:23" hidden="1">
      <c r="A148" s="1" t="s">
        <v>2279</v>
      </c>
      <c r="B148" s="1" t="s">
        <v>2277</v>
      </c>
      <c r="C148" s="1">
        <v>1</v>
      </c>
      <c r="D148" s="1" t="str">
        <f>'collected data-merged'!D140</f>
        <v>HC55</v>
      </c>
      <c r="E148" s="1" t="s">
        <v>771</v>
      </c>
      <c r="F148" s="205" t="str">
        <f>'DCP3 causes and BoD CIV'!B140</f>
        <v>HC55</v>
      </c>
      <c r="G148" s="2" t="s">
        <v>424</v>
      </c>
      <c r="H148" s="2" t="s">
        <v>29</v>
      </c>
      <c r="I148" s="2" t="s">
        <v>1654</v>
      </c>
      <c r="J148" s="2" t="str">
        <f t="shared" si="14"/>
        <v>Other musculoskeletal disorders: 0.0667774238242634</v>
      </c>
      <c r="K148" s="1" t="str">
        <f>J148</f>
        <v>Other musculoskeletal disorders: 0.0667774238242634</v>
      </c>
      <c r="L148" s="6">
        <v>402.5</v>
      </c>
      <c r="M148" s="204">
        <f>'collected data-merged'!R140/'collected data-merged'!Q140</f>
        <v>1.5000000000000002</v>
      </c>
      <c r="N148" s="205">
        <f t="shared" si="15"/>
        <v>1569.5029119503045</v>
      </c>
      <c r="O148" s="205">
        <f>'DCP3 causes and BoD CIV'!E140</f>
        <v>35255.243959711523</v>
      </c>
      <c r="P148" s="212">
        <f>N148/'DCP3 causes and BoD CIV'!E140</f>
        <v>4.4518282549508896E-2</v>
      </c>
      <c r="Q148" s="213">
        <f t="shared" si="16"/>
        <v>6.6777423824263354E-2</v>
      </c>
      <c r="R148" s="2">
        <f>'collected data-merged'!N140</f>
        <v>6748.0483665311667</v>
      </c>
      <c r="S148" s="2">
        <f t="shared" si="17"/>
        <v>12.269178848238486</v>
      </c>
      <c r="T148" s="206">
        <f>'collected data-merged'!T140</f>
        <v>496355295.90428376</v>
      </c>
      <c r="U148" s="219">
        <f t="shared" si="18"/>
        <v>902464.17437142506</v>
      </c>
      <c r="V148" s="2">
        <v>1</v>
      </c>
      <c r="W148" s="2">
        <v>2</v>
      </c>
    </row>
    <row r="149" spans="1:23" hidden="1">
      <c r="B149" s="1" t="s">
        <v>2277</v>
      </c>
      <c r="C149" s="1">
        <v>1</v>
      </c>
      <c r="D149" s="1" t="str">
        <f>'collected data-merged'!D141</f>
        <v>HC56</v>
      </c>
      <c r="E149" s="1" t="s">
        <v>777</v>
      </c>
      <c r="F149" s="205" t="str">
        <f>'DCP3 causes and BoD CIV'!B141</f>
        <v>HC56</v>
      </c>
      <c r="G149" s="2" t="s">
        <v>508</v>
      </c>
      <c r="H149" s="2" t="s">
        <v>29</v>
      </c>
      <c r="I149" s="2" t="s">
        <v>1511</v>
      </c>
      <c r="J149" s="2" t="str">
        <f t="shared" si="14"/>
        <v>Age-related and other hearing loss: 0.0232284199156082</v>
      </c>
      <c r="K149" s="1" t="s">
        <v>2177</v>
      </c>
      <c r="L149" s="2">
        <v>4898</v>
      </c>
      <c r="M149" s="204">
        <f>'collected data-merged'!R141/'collected data-merged'!Q141</f>
        <v>3.0000000000000004</v>
      </c>
      <c r="N149" s="205">
        <f t="shared" si="15"/>
        <v>551.6450445113793</v>
      </c>
      <c r="O149" s="205">
        <f>'DCP3 causes and BoD CIV'!E141</f>
        <v>71246.13467238532</v>
      </c>
      <c r="P149" s="212">
        <f>N149/'DCP3 causes and BoD CIV'!E141</f>
        <v>7.7428066385360613E-3</v>
      </c>
      <c r="Q149" s="213">
        <f t="shared" si="16"/>
        <v>2.3228419915608187E-2</v>
      </c>
      <c r="R149" s="2">
        <f>'collected data-merged'!N141</f>
        <v>16963.662096893244</v>
      </c>
      <c r="S149" s="2">
        <f t="shared" si="17"/>
        <v>30.843021994351353</v>
      </c>
      <c r="T149" s="206">
        <f>'collected data-merged'!T141</f>
        <v>2122966550.584578</v>
      </c>
      <c r="U149" s="219">
        <f t="shared" si="18"/>
        <v>3859939.1828810512</v>
      </c>
      <c r="V149" s="2">
        <v>3</v>
      </c>
      <c r="W149" s="2">
        <v>3</v>
      </c>
    </row>
    <row r="150" spans="1:23" ht="28.8" hidden="1">
      <c r="A150" s="1" t="s">
        <v>2279</v>
      </c>
      <c r="B150" s="1" t="s">
        <v>2277</v>
      </c>
      <c r="C150" s="1">
        <v>1</v>
      </c>
      <c r="D150" s="1" t="str">
        <f>'collected data-merged'!D142</f>
        <v>HC57</v>
      </c>
      <c r="E150" s="1" t="s">
        <v>819</v>
      </c>
      <c r="F150" s="205" t="str">
        <f>'DCP3 causes and BoD CIV'!B142</f>
        <v>HC57</v>
      </c>
      <c r="G150" s="2" t="s">
        <v>75</v>
      </c>
      <c r="H150" s="2" t="s">
        <v>29</v>
      </c>
      <c r="I150" s="2" t="s">
        <v>2062</v>
      </c>
      <c r="J150" s="2" t="str">
        <f t="shared" si="14"/>
        <v>Caries of deciduous teeth; Caries of permanent teeth; Periodontal diseases: 2.42903570588583</v>
      </c>
      <c r="K150" s="1" t="s">
        <v>2243</v>
      </c>
      <c r="L150" s="6">
        <v>402.5</v>
      </c>
      <c r="M150" s="204">
        <f>'collected data-merged'!R142/'collected data-merged'!Q142</f>
        <v>3.0000000000000004</v>
      </c>
      <c r="N150" s="205">
        <f t="shared" si="15"/>
        <v>18695.560422266033</v>
      </c>
      <c r="O150" s="205">
        <f>'DCP3 causes and BoD CIV'!E142</f>
        <v>23090.101611472281</v>
      </c>
      <c r="P150" s="212">
        <f>N150/'DCP3 causes and BoD CIV'!E142</f>
        <v>0.80967856862860976</v>
      </c>
      <c r="Q150" s="213">
        <f t="shared" si="16"/>
        <v>2.4290357058858296</v>
      </c>
      <c r="R150" s="2">
        <f>'collected data-merged'!N142</f>
        <v>14236.194161231248</v>
      </c>
      <c r="S150" s="2">
        <f t="shared" si="17"/>
        <v>25.883989384056814</v>
      </c>
      <c r="T150" s="206">
        <f>'collected data-merged'!T142</f>
        <v>5912470983.5416336</v>
      </c>
      <c r="U150" s="219">
        <f t="shared" si="18"/>
        <v>10749947.24280297</v>
      </c>
      <c r="V150" s="2">
        <v>3</v>
      </c>
      <c r="W150" s="2">
        <v>1</v>
      </c>
    </row>
    <row r="151" spans="1:23" ht="28.8" hidden="1">
      <c r="A151" s="1" t="s">
        <v>2279</v>
      </c>
      <c r="B151" s="1" t="s">
        <v>2277</v>
      </c>
      <c r="C151" s="1">
        <v>1</v>
      </c>
      <c r="D151" s="1" t="str">
        <f>'collected data-merged'!D143</f>
        <v>HC58</v>
      </c>
      <c r="E151" s="1" t="s">
        <v>820</v>
      </c>
      <c r="F151" s="205" t="str">
        <f>'DCP3 causes and BoD CIV'!B143</f>
        <v>HC58</v>
      </c>
      <c r="G151" s="2" t="s">
        <v>85</v>
      </c>
      <c r="H151" s="2" t="s">
        <v>29</v>
      </c>
      <c r="I151" s="2" t="s">
        <v>2063</v>
      </c>
      <c r="J151" s="2" t="str">
        <f t="shared" si="14"/>
        <v>Caries of deciduous teeth; Caries of permanent teeth: 2.42903570588583</v>
      </c>
      <c r="K151" s="1" t="s">
        <v>2243</v>
      </c>
      <c r="L151" s="6">
        <v>402.5</v>
      </c>
      <c r="M151" s="204">
        <f>'collected data-merged'!R143/'collected data-merged'!Q143</f>
        <v>3.0000000000000004</v>
      </c>
      <c r="N151" s="205">
        <f t="shared" si="15"/>
        <v>18695.560422266033</v>
      </c>
      <c r="O151" s="205">
        <f>'DCP3 causes and BoD CIV'!E143</f>
        <v>23090.101611472281</v>
      </c>
      <c r="P151" s="212">
        <f>N151/'DCP3 causes and BoD CIV'!E143</f>
        <v>0.80967856862860976</v>
      </c>
      <c r="Q151" s="213">
        <f t="shared" si="16"/>
        <v>2.4290357058858296</v>
      </c>
      <c r="R151" s="2">
        <f>'collected data-merged'!N143</f>
        <v>14236.194161231248</v>
      </c>
      <c r="S151" s="2">
        <f t="shared" si="17"/>
        <v>25.883989384056814</v>
      </c>
      <c r="T151" s="206">
        <f>'collected data-merged'!T143</f>
        <v>5912470983.5416336</v>
      </c>
      <c r="U151" s="219">
        <f t="shared" si="18"/>
        <v>10749947.24280297</v>
      </c>
      <c r="V151" s="2">
        <v>3</v>
      </c>
      <c r="W151" s="2">
        <v>1</v>
      </c>
    </row>
    <row r="152" spans="1:23" hidden="1">
      <c r="B152" s="1" t="s">
        <v>2277</v>
      </c>
      <c r="C152" s="1">
        <v>1</v>
      </c>
      <c r="D152" s="1" t="str">
        <f>'collected data-merged'!D144</f>
        <v>HC59</v>
      </c>
      <c r="E152" s="1" t="s">
        <v>821</v>
      </c>
      <c r="F152" s="205" t="str">
        <f>'DCP3 causes and BoD CIV'!B144</f>
        <v>HC59</v>
      </c>
      <c r="G152" s="2" t="s">
        <v>86</v>
      </c>
      <c r="H152" s="2" t="s">
        <v>29</v>
      </c>
      <c r="I152" s="2" t="s">
        <v>1680</v>
      </c>
      <c r="J152" s="2" t="str">
        <f t="shared" si="14"/>
        <v>Bacterial skin diseases: 7.87273425090252</v>
      </c>
      <c r="K152" s="1" t="s">
        <v>2338</v>
      </c>
      <c r="L152" s="2">
        <v>5.29</v>
      </c>
      <c r="M152" s="204">
        <f>'collected data-merged'!R144/'collected data-merged'!Q144</f>
        <v>1.5000000000000002</v>
      </c>
      <c r="N152" s="205">
        <f t="shared" si="15"/>
        <v>63556.603732729003</v>
      </c>
      <c r="O152" s="205">
        <f>'DCP3 causes and BoD CIV'!E144</f>
        <v>12109.503834473329</v>
      </c>
      <c r="P152" s="212">
        <f>N152/'DCP3 causes and BoD CIV'!E144</f>
        <v>5.2484895006016759</v>
      </c>
      <c r="Q152" s="213">
        <f t="shared" si="16"/>
        <v>7.8727342509025151</v>
      </c>
      <c r="R152" s="2">
        <f>'collected data-merged'!N144</f>
        <v>14236.194161231248</v>
      </c>
      <c r="S152" s="2">
        <f t="shared" si="17"/>
        <v>25.883989384056814</v>
      </c>
      <c r="T152" s="206">
        <f>'collected data-merged'!T144</f>
        <v>264168483.65767863</v>
      </c>
      <c r="U152" s="219">
        <f t="shared" si="18"/>
        <v>480306.33392305207</v>
      </c>
      <c r="V152" s="2">
        <v>3</v>
      </c>
      <c r="W152" s="2">
        <v>1</v>
      </c>
    </row>
    <row r="153" spans="1:23" ht="28.8" hidden="1">
      <c r="B153" s="1" t="s">
        <v>2277</v>
      </c>
      <c r="C153" s="1">
        <v>1</v>
      </c>
      <c r="D153" s="1" t="str">
        <f>'collected data-merged'!D145</f>
        <v>HC6</v>
      </c>
      <c r="E153" s="1" t="s">
        <v>636</v>
      </c>
      <c r="F153" s="205" t="str">
        <f>'DCP3 causes and BoD CIV'!B145</f>
        <v>HC6</v>
      </c>
      <c r="G153" s="2" t="s">
        <v>50</v>
      </c>
      <c r="H153" s="2" t="s">
        <v>29</v>
      </c>
      <c r="I153" s="2" t="s">
        <v>520</v>
      </c>
      <c r="J153" s="2" t="str">
        <f t="shared" si="14"/>
        <v>Neonatal sepsis and other neonatal infections: 2.20757324644803E-05</v>
      </c>
      <c r="K153" s="1" t="s">
        <v>2165</v>
      </c>
      <c r="L153" s="2">
        <v>5488</v>
      </c>
      <c r="M153" s="204">
        <f>'collected data-merged'!R145/'collected data-merged'!Q145</f>
        <v>3.3333333333333335</v>
      </c>
      <c r="N153" s="205">
        <f t="shared" si="15"/>
        <v>1.6786992826585936</v>
      </c>
      <c r="O153" s="205">
        <f>'DCP3 causes and BoD CIV'!E145</f>
        <v>253475.81488098</v>
      </c>
      <c r="P153" s="212">
        <f>N153/'DCP3 causes and BoD CIV'!E145</f>
        <v>6.6227197393440858E-6</v>
      </c>
      <c r="Q153" s="213">
        <f t="shared" si="16"/>
        <v>2.2075732464480288E-5</v>
      </c>
      <c r="R153" s="2">
        <f>'collected data-merged'!N145</f>
        <v>996.89259000000004</v>
      </c>
      <c r="S153" s="2">
        <f t="shared" si="17"/>
        <v>1.812531981818182</v>
      </c>
      <c r="T153" s="206">
        <f>'collected data-merged'!T145</f>
        <v>7238551.3068238553</v>
      </c>
      <c r="U153" s="219">
        <f t="shared" si="18"/>
        <v>13161.002376043372</v>
      </c>
      <c r="V153" s="2">
        <v>3</v>
      </c>
      <c r="W153" s="2">
        <v>3</v>
      </c>
    </row>
    <row r="154" spans="1:23" ht="57.6" hidden="1">
      <c r="A154" s="1" t="s">
        <v>2280</v>
      </c>
      <c r="B154" s="1" t="s">
        <v>2277</v>
      </c>
      <c r="C154" s="1">
        <v>0</v>
      </c>
      <c r="D154" s="1" t="str">
        <f>'collected data-merged'!D146</f>
        <v>HC60</v>
      </c>
      <c r="E154" s="1" t="s">
        <v>822</v>
      </c>
      <c r="F154" s="205" t="str">
        <f>'DCP3 causes and BoD CIV'!B146</f>
        <v>HC60</v>
      </c>
      <c r="G154" s="2" t="s">
        <v>184</v>
      </c>
      <c r="H154" s="2" t="s">
        <v>29</v>
      </c>
      <c r="I154" s="2" t="s">
        <v>2037</v>
      </c>
      <c r="J154" s="1" t="str">
        <f t="shared" si="14"/>
        <v>Transport injuries; Unintentional injuries; Exposure to forces of nature; Other unintentional injuries; Exposure to mechanical forces; Foreign body; Self-harm and interpersonal violence: 0</v>
      </c>
      <c r="K154" s="1" t="e">
        <v>#DIV/0!</v>
      </c>
      <c r="L154" s="6">
        <v>402.5</v>
      </c>
      <c r="M154" s="204">
        <f>'collected data-merged'!R146/'collected data-merged'!Q146</f>
        <v>1.5000000000000002</v>
      </c>
      <c r="N154" s="205">
        <f t="shared" si="15"/>
        <v>0</v>
      </c>
      <c r="O154" s="205">
        <f>'DCP3 causes and BoD CIV'!E146</f>
        <v>1036192.2036396544</v>
      </c>
      <c r="P154" s="212">
        <f>N154/'DCP3 causes and BoD CIV'!E146</f>
        <v>0</v>
      </c>
      <c r="Q154" s="213">
        <f t="shared" si="16"/>
        <v>0</v>
      </c>
      <c r="R154" s="2">
        <f>'collected data-merged'!N146</f>
        <v>14236.194161231248</v>
      </c>
      <c r="S154" s="2">
        <f t="shared" si="17"/>
        <v>25.883989384056814</v>
      </c>
      <c r="T154" s="206">
        <f>'collected data-merged'!T146</f>
        <v>0</v>
      </c>
      <c r="U154" s="219">
        <f t="shared" si="18"/>
        <v>0</v>
      </c>
      <c r="V154" s="2">
        <v>4</v>
      </c>
      <c r="W154" s="2">
        <v>1</v>
      </c>
    </row>
    <row r="155" spans="1:23" ht="57.6" hidden="1">
      <c r="A155" s="1" t="s">
        <v>2280</v>
      </c>
      <c r="B155" s="1" t="s">
        <v>2277</v>
      </c>
      <c r="C155" s="1">
        <v>0</v>
      </c>
      <c r="D155" s="1" t="str">
        <f>'collected data-merged'!D147</f>
        <v>HC62</v>
      </c>
      <c r="E155" s="1" t="s">
        <v>824</v>
      </c>
      <c r="F155" s="205" t="str">
        <f>'DCP3 causes and BoD CIV'!B147</f>
        <v>HC62</v>
      </c>
      <c r="G155" s="2" t="s">
        <v>260</v>
      </c>
      <c r="H155" s="2" t="s">
        <v>29</v>
      </c>
      <c r="I155" s="2" t="s">
        <v>2037</v>
      </c>
      <c r="J155" s="1" t="str">
        <f t="shared" si="14"/>
        <v>Transport injuries; Unintentional injuries; Exposure to forces of nature; Other unintentional injuries; Exposure to mechanical forces; Foreign body; Self-harm and interpersonal violence: 0</v>
      </c>
      <c r="K155" s="1" t="e">
        <v>#DIV/0!</v>
      </c>
      <c r="L155" s="6">
        <v>402.5</v>
      </c>
      <c r="M155" s="204">
        <f>'collected data-merged'!R147/'collected data-merged'!Q147</f>
        <v>1.5000000000000002</v>
      </c>
      <c r="N155" s="205">
        <f t="shared" si="15"/>
        <v>0</v>
      </c>
      <c r="O155" s="205">
        <f>'DCP3 causes and BoD CIV'!E147</f>
        <v>1036192.2036396544</v>
      </c>
      <c r="P155" s="212">
        <f>N155/'DCP3 causes and BoD CIV'!E147</f>
        <v>0</v>
      </c>
      <c r="Q155" s="213">
        <f t="shared" si="16"/>
        <v>0</v>
      </c>
      <c r="R155" s="2">
        <f>'collected data-merged'!N147</f>
        <v>14236.194161231248</v>
      </c>
      <c r="S155" s="2">
        <f t="shared" si="17"/>
        <v>25.883989384056814</v>
      </c>
      <c r="T155" s="206">
        <f>'collected data-merged'!T147</f>
        <v>0</v>
      </c>
      <c r="U155" s="219">
        <f t="shared" si="18"/>
        <v>0</v>
      </c>
      <c r="V155" s="2">
        <v>4</v>
      </c>
      <c r="W155" s="2">
        <v>1</v>
      </c>
    </row>
    <row r="156" spans="1:23" ht="28.8" hidden="1">
      <c r="A156" s="1" t="s">
        <v>2279</v>
      </c>
      <c r="B156" s="1" t="s">
        <v>2277</v>
      </c>
      <c r="C156" s="1">
        <v>1</v>
      </c>
      <c r="D156" s="1" t="str">
        <f>'collected data-merged'!D148</f>
        <v>HC63</v>
      </c>
      <c r="E156" s="1" t="s">
        <v>825</v>
      </c>
      <c r="F156" s="205" t="str">
        <f>'DCP3 causes and BoD CIV'!B148</f>
        <v>HC63</v>
      </c>
      <c r="G156" s="2" t="s">
        <v>277</v>
      </c>
      <c r="H156" s="2" t="s">
        <v>29</v>
      </c>
      <c r="I156" s="2" t="s">
        <v>2063</v>
      </c>
      <c r="J156" s="2" t="str">
        <f t="shared" si="14"/>
        <v>Caries of deciduous teeth; Caries of permanent teeth: 29.7339056307908</v>
      </c>
      <c r="K156" s="1" t="s">
        <v>2244</v>
      </c>
      <c r="L156" s="6">
        <v>402.5</v>
      </c>
      <c r="M156" s="204">
        <f>'collected data-merged'!R148/'collected data-merged'!Q148</f>
        <v>1.5000000000000002</v>
      </c>
      <c r="N156" s="205">
        <f t="shared" si="15"/>
        <v>74782.241689064133</v>
      </c>
      <c r="O156" s="205">
        <f>'DCP3 causes and BoD CIV'!E148</f>
        <v>3772.5741087116312</v>
      </c>
      <c r="P156" s="212">
        <f>N156/'DCP3 causes and BoD CIV'!E148</f>
        <v>19.822603753860506</v>
      </c>
      <c r="Q156" s="213">
        <f t="shared" si="16"/>
        <v>29.733905630790762</v>
      </c>
      <c r="R156" s="2">
        <f>'collected data-merged'!N148</f>
        <v>14236.194161231248</v>
      </c>
      <c r="S156" s="2">
        <f t="shared" si="17"/>
        <v>25.883989384056814</v>
      </c>
      <c r="T156" s="206">
        <f>'collected data-merged'!T148</f>
        <v>23649883934.166534</v>
      </c>
      <c r="U156" s="219">
        <f t="shared" si="18"/>
        <v>42999788.97121188</v>
      </c>
      <c r="V156" s="2">
        <v>2</v>
      </c>
      <c r="W156" s="2">
        <v>1</v>
      </c>
    </row>
    <row r="157" spans="1:23" ht="72" hidden="1">
      <c r="B157" s="1" t="s">
        <v>2277</v>
      </c>
      <c r="C157" s="1">
        <v>1</v>
      </c>
      <c r="D157" s="1" t="str">
        <f>'collected data-merged'!D149</f>
        <v>HC64</v>
      </c>
      <c r="E157" s="1" t="s">
        <v>797</v>
      </c>
      <c r="F157" s="205" t="str">
        <f>'DCP3 causes and BoD CIV'!B149</f>
        <v>HC64</v>
      </c>
      <c r="G157" s="2" t="s">
        <v>35</v>
      </c>
      <c r="H157" s="2" t="s">
        <v>29</v>
      </c>
      <c r="I157" s="2" t="s">
        <v>2064</v>
      </c>
      <c r="J157" s="2" t="str">
        <f t="shared" si="14"/>
        <v>Musculoskeletal disorders; Transport injuries; Unintentional injuries; Exposure to forces of nature; Other unintentional injuries; Exposure to mechanical forces; Foreign body; Self-harm and interpersonal violence: 0.000415858755263888</v>
      </c>
      <c r="K157" s="1" t="s">
        <v>2245</v>
      </c>
      <c r="L157" s="2">
        <v>5968</v>
      </c>
      <c r="M157" s="204">
        <f>'collected data-merged'!R149/'collected data-merged'!Q149</f>
        <v>1.5000000000000002</v>
      </c>
      <c r="N157" s="205">
        <f t="shared" si="15"/>
        <v>72.761140338693139</v>
      </c>
      <c r="O157" s="205">
        <f>'DCP3 causes and BoD CIV'!E149</f>
        <v>262448.99049626233</v>
      </c>
      <c r="P157" s="212">
        <f>N157/'DCP3 causes and BoD CIV'!E149</f>
        <v>2.7723917017592558E-4</v>
      </c>
      <c r="Q157" s="213">
        <f t="shared" si="16"/>
        <v>4.1585875526388845E-4</v>
      </c>
      <c r="R157" s="2">
        <f>'collected data-merged'!N149</f>
        <v>4638.5098968183147</v>
      </c>
      <c r="S157" s="2">
        <f t="shared" si="17"/>
        <v>8.4336543578514807</v>
      </c>
      <c r="T157" s="206">
        <f>'collected data-merged'!T149</f>
        <v>341187381.49675196</v>
      </c>
      <c r="U157" s="219">
        <f t="shared" si="18"/>
        <v>620340.69363045809</v>
      </c>
      <c r="V157" s="2">
        <v>1</v>
      </c>
      <c r="W157" s="2">
        <v>1</v>
      </c>
    </row>
    <row r="158" spans="1:23" ht="57.6" hidden="1">
      <c r="A158" s="1" t="s">
        <v>2280</v>
      </c>
      <c r="B158" s="1" t="s">
        <v>2277</v>
      </c>
      <c r="C158" s="1">
        <v>0</v>
      </c>
      <c r="D158" s="1" t="str">
        <f>'collected data-merged'!D150</f>
        <v>HC65</v>
      </c>
      <c r="E158" s="1" t="s">
        <v>798</v>
      </c>
      <c r="F158" s="205" t="str">
        <f>'DCP3 causes and BoD CIV'!B150</f>
        <v>HC65</v>
      </c>
      <c r="G158" s="2" t="s">
        <v>233</v>
      </c>
      <c r="H158" s="2" t="s">
        <v>29</v>
      </c>
      <c r="I158" s="2" t="s">
        <v>2037</v>
      </c>
      <c r="J158" s="1" t="str">
        <f t="shared" si="14"/>
        <v>Transport injuries; Unintentional injuries; Exposure to forces of nature; Other unintentional injuries; Exposure to mechanical forces; Foreign body; Self-harm and interpersonal violence: 0</v>
      </c>
      <c r="K158" s="1" t="e">
        <v>#DIV/0!</v>
      </c>
      <c r="L158" s="6">
        <v>402.5</v>
      </c>
      <c r="M158" s="204">
        <f>'collected data-merged'!R150/'collected data-merged'!Q150</f>
        <v>1.5000000000000002</v>
      </c>
      <c r="N158" s="205">
        <f t="shared" si="15"/>
        <v>0</v>
      </c>
      <c r="O158" s="205">
        <f>'DCP3 causes and BoD CIV'!E150</f>
        <v>1036192.2036396544</v>
      </c>
      <c r="P158" s="212">
        <f>N158/'DCP3 causes and BoD CIV'!E150</f>
        <v>0</v>
      </c>
      <c r="Q158" s="213">
        <f t="shared" si="16"/>
        <v>0</v>
      </c>
      <c r="R158" s="2">
        <f>'collected data-merged'!N150</f>
        <v>4638.5098968183147</v>
      </c>
      <c r="S158" s="2">
        <f t="shared" si="17"/>
        <v>8.4336543578514807</v>
      </c>
      <c r="T158" s="206">
        <f>'collected data-merged'!T150</f>
        <v>0</v>
      </c>
      <c r="U158" s="219">
        <f t="shared" si="18"/>
        <v>0</v>
      </c>
      <c r="V158" s="2">
        <v>1</v>
      </c>
      <c r="W158" s="2">
        <v>1</v>
      </c>
    </row>
    <row r="159" spans="1:23" ht="28.8" hidden="1">
      <c r="A159" s="1" t="s">
        <v>2281</v>
      </c>
      <c r="B159" s="1" t="s">
        <v>2277</v>
      </c>
      <c r="C159" s="1">
        <v>1</v>
      </c>
      <c r="D159" s="1" t="str">
        <f>'collected data-merged'!D151</f>
        <v>HC66</v>
      </c>
      <c r="E159" s="1" t="s">
        <v>832</v>
      </c>
      <c r="F159" s="205" t="str">
        <f>'DCP3 causes and BoD CIV'!B151</f>
        <v>HC66</v>
      </c>
      <c r="G159" s="2" t="s">
        <v>209</v>
      </c>
      <c r="H159" s="2" t="s">
        <v>10</v>
      </c>
      <c r="I159" s="2" t="s">
        <v>2059</v>
      </c>
      <c r="J159" s="2" t="str">
        <f t="shared" ref="J159:J183" si="19">CONCATENATE(I159, ":", " ", Q159)</f>
        <v>Depressive disorders; Anxiety disorders: 0.122111742104338</v>
      </c>
      <c r="K159" s="1" t="s">
        <v>2246</v>
      </c>
      <c r="L159" s="6">
        <v>805</v>
      </c>
      <c r="M159" s="204">
        <f>'collected data-merged'!R151/'collected data-merged'!Q151</f>
        <v>2</v>
      </c>
      <c r="N159" s="205">
        <f t="shared" ref="N159:N183" si="20">((T159/L159)/FCFA_US__exchange)*Quality_reduction</f>
        <v>10133.455007674183</v>
      </c>
      <c r="O159" s="205">
        <f>'DCP3 causes and BoD CIV'!E151</f>
        <v>165970.19800136369</v>
      </c>
      <c r="P159" s="212">
        <f>N159/'DCP3 causes and BoD CIV'!E151</f>
        <v>6.1055871052168788E-2</v>
      </c>
      <c r="Q159" s="213">
        <f t="shared" ref="Q159:Q183" si="21">M159*P159</f>
        <v>0.12211174210433758</v>
      </c>
      <c r="R159" s="2">
        <f>'collected data-merged'!N151</f>
        <v>56830.379303539623</v>
      </c>
      <c r="S159" s="2">
        <f t="shared" ref="S159:S182" si="22">R159/550</f>
        <v>103.32796237007204</v>
      </c>
      <c r="T159" s="206">
        <f>'collected data-merged'!T151</f>
        <v>6409410292.3539209</v>
      </c>
      <c r="U159" s="219">
        <f t="shared" ref="U159:U183" si="23">T159/550</f>
        <v>11653473.258825311</v>
      </c>
      <c r="V159" s="2">
        <v>2</v>
      </c>
      <c r="W159" s="2">
        <v>2</v>
      </c>
    </row>
    <row r="160" spans="1:23" ht="28.8" hidden="1">
      <c r="A160" s="1" t="s">
        <v>2279</v>
      </c>
      <c r="B160" s="1" t="s">
        <v>2277</v>
      </c>
      <c r="C160" s="1">
        <v>1</v>
      </c>
      <c r="D160" s="1" t="str">
        <f>'collected data-merged'!D152</f>
        <v>HC7</v>
      </c>
      <c r="E160" s="1" t="s">
        <v>637</v>
      </c>
      <c r="F160" s="205" t="str">
        <f>'DCP3 causes and BoD CIV'!B152</f>
        <v>HC7</v>
      </c>
      <c r="G160" s="2" t="s">
        <v>525</v>
      </c>
      <c r="H160" s="2" t="s">
        <v>29</v>
      </c>
      <c r="I160" s="2" t="s">
        <v>1683</v>
      </c>
      <c r="J160" s="2" t="str">
        <f t="shared" si="19"/>
        <v>Maternal abortion and miscarriage: 0.000449276109903289</v>
      </c>
      <c r="K160" s="1" t="s">
        <v>2247</v>
      </c>
      <c r="L160" s="6">
        <v>402.5</v>
      </c>
      <c r="M160" s="204">
        <f>'collected data-merged'!R152/'collected data-merged'!Q152</f>
        <v>1.6</v>
      </c>
      <c r="N160" s="205">
        <f t="shared" si="20"/>
        <v>3.2756042413568438</v>
      </c>
      <c r="O160" s="205">
        <f>'DCP3 causes and BoD CIV'!E152</f>
        <v>11665.358274445351</v>
      </c>
      <c r="P160" s="212">
        <f>N160/'DCP3 causes and BoD CIV'!E152</f>
        <v>2.8079756868955557E-4</v>
      </c>
      <c r="Q160" s="213">
        <f t="shared" si="21"/>
        <v>4.4927610990328892E-4</v>
      </c>
      <c r="R160" s="2">
        <f>'collected data-merged'!N152</f>
        <v>3343.3013126956789</v>
      </c>
      <c r="S160" s="2">
        <f t="shared" si="22"/>
        <v>6.0787296594466893</v>
      </c>
      <c r="T160" s="206">
        <f>'collected data-merged'!T152</f>
        <v>1035909.8413291018</v>
      </c>
      <c r="U160" s="219">
        <f t="shared" si="23"/>
        <v>1883.472438780185</v>
      </c>
      <c r="V160" s="2">
        <v>2</v>
      </c>
      <c r="W160" s="2">
        <v>1</v>
      </c>
    </row>
    <row r="161" spans="1:23" hidden="1">
      <c r="B161" s="1" t="s">
        <v>2277</v>
      </c>
      <c r="C161" s="1">
        <v>1</v>
      </c>
      <c r="D161" s="1" t="str">
        <f>'collected data-merged'!D153</f>
        <v>HC8</v>
      </c>
      <c r="E161" s="1" t="s">
        <v>644</v>
      </c>
      <c r="F161" s="205" t="str">
        <f>'DCP3 causes and BoD CIV'!B153</f>
        <v>HC8</v>
      </c>
      <c r="G161" s="2" t="s">
        <v>191</v>
      </c>
      <c r="H161" s="2" t="s">
        <v>29</v>
      </c>
      <c r="I161" s="2" t="s">
        <v>2065</v>
      </c>
      <c r="J161" s="2" t="str">
        <f t="shared" si="19"/>
        <v>HIV/AIDS; Syphilis: 5.91806497391807</v>
      </c>
      <c r="K161" s="1" t="s">
        <v>2339</v>
      </c>
      <c r="L161" s="2">
        <v>9</v>
      </c>
      <c r="M161" s="204">
        <f>'collected data-merged'!R153/'collected data-merged'!Q153</f>
        <v>1.142857142857143</v>
      </c>
      <c r="N161" s="205">
        <f t="shared" si="20"/>
        <v>590882.08712960756</v>
      </c>
      <c r="O161" s="205">
        <f>'DCP3 causes and BoD CIV'!E153</f>
        <v>114107.19835597352</v>
      </c>
      <c r="P161" s="212">
        <f>N161/'DCP3 causes and BoD CIV'!E153</f>
        <v>5.178306852178312</v>
      </c>
      <c r="Q161" s="213">
        <f t="shared" si="21"/>
        <v>5.9180649739180717</v>
      </c>
      <c r="R161" s="2">
        <f>'collected data-merged'!N153</f>
        <v>224825.42229075349</v>
      </c>
      <c r="S161" s="2">
        <f t="shared" si="22"/>
        <v>408.77349507409724</v>
      </c>
      <c r="T161" s="206">
        <f>'collected data-merged'!T153</f>
        <v>4178380473.273654</v>
      </c>
      <c r="U161" s="219">
        <f t="shared" si="23"/>
        <v>7597055.4059520978</v>
      </c>
      <c r="V161" s="2">
        <v>5</v>
      </c>
      <c r="W161" s="2">
        <v>1</v>
      </c>
    </row>
    <row r="162" spans="1:23" ht="28.8" hidden="1">
      <c r="B162" s="1" t="s">
        <v>2277</v>
      </c>
      <c r="C162" s="1">
        <v>1</v>
      </c>
      <c r="D162" s="1" t="str">
        <f>'collected data-merged'!D154</f>
        <v>HC9</v>
      </c>
      <c r="E162" s="1" t="s">
        <v>638</v>
      </c>
      <c r="F162" s="205" t="str">
        <f>'DCP3 causes and BoD CIV'!B154</f>
        <v>HC9</v>
      </c>
      <c r="G162" s="2" t="s">
        <v>48</v>
      </c>
      <c r="H162" s="2" t="s">
        <v>29</v>
      </c>
      <c r="I162" s="2" t="s">
        <v>527</v>
      </c>
      <c r="J162" s="2" t="str">
        <f t="shared" si="19"/>
        <v>Maternal hypertensive disorders: 2.36131710153226E-05</v>
      </c>
      <c r="K162" s="1" t="s">
        <v>2249</v>
      </c>
      <c r="L162" s="2">
        <v>72799</v>
      </c>
      <c r="M162" s="204">
        <f>'collected data-merged'!R154/'collected data-merged'!Q154</f>
        <v>1500.2062783632753</v>
      </c>
      <c r="N162" s="205">
        <f t="shared" si="20"/>
        <v>2.4802451200139024E-4</v>
      </c>
      <c r="O162" s="205">
        <f>'DCP3 causes and BoD CIV'!E154</f>
        <v>15757.64347156192</v>
      </c>
      <c r="P162" s="212">
        <f>N162/'DCP3 causes and BoD CIV'!E154</f>
        <v>1.5739949469538653E-8</v>
      </c>
      <c r="Q162" s="213">
        <f t="shared" si="21"/>
        <v>2.3613171015322592E-5</v>
      </c>
      <c r="R162" s="2">
        <f>'collected data-merged'!N154</f>
        <v>957.02467473971296</v>
      </c>
      <c r="S162" s="2">
        <f t="shared" si="22"/>
        <v>1.7400448631631145</v>
      </c>
      <c r="T162" s="206">
        <f>'collected data-merged'!T154</f>
        <v>14186.807210077235</v>
      </c>
      <c r="U162" s="219">
        <f t="shared" si="23"/>
        <v>25.794194927413155</v>
      </c>
      <c r="V162" s="2">
        <v>1</v>
      </c>
      <c r="W162" s="2">
        <v>1</v>
      </c>
    </row>
    <row r="163" spans="1:23" ht="43.2" hidden="1">
      <c r="A163" s="1" t="s">
        <v>2278</v>
      </c>
      <c r="B163" s="1" t="s">
        <v>2277</v>
      </c>
      <c r="C163" s="1">
        <v>1</v>
      </c>
      <c r="D163" s="1" t="str">
        <f>'collected data-merged'!D155</f>
        <v>P13</v>
      </c>
      <c r="E163" s="1" t="s">
        <v>835</v>
      </c>
      <c r="F163" s="205" t="str">
        <f>'DCP3 causes and BoD CIV'!B155</f>
        <v>P13</v>
      </c>
      <c r="G163" s="2" t="s">
        <v>170</v>
      </c>
      <c r="H163" s="2" t="s">
        <v>74</v>
      </c>
      <c r="I163" s="2" t="s">
        <v>2066</v>
      </c>
      <c r="J163" s="2" t="str">
        <f t="shared" si="19"/>
        <v>Diarrheal diseases; Acute hepatitis A; Acute hepatitis E; Chronic respiratory diseases: 0.0314530638201503</v>
      </c>
      <c r="K163" s="1" t="s">
        <v>2311</v>
      </c>
      <c r="L163" s="6">
        <v>150</v>
      </c>
      <c r="M163" s="204">
        <f>'collected data-merged'!R155/'collected data-merged'!Q155</f>
        <v>1.6</v>
      </c>
      <c r="N163" s="205">
        <f t="shared" si="20"/>
        <v>21239.655322908377</v>
      </c>
      <c r="O163" s="205">
        <f>'DCP3 causes and BoD CIV'!E155</f>
        <v>1080449.5457412959</v>
      </c>
      <c r="P163" s="212">
        <f>N163/'DCP3 causes and BoD CIV'!E155</f>
        <v>1.9658164887593949E-2</v>
      </c>
      <c r="Q163" s="213">
        <f t="shared" si="21"/>
        <v>3.1453063820150319E-2</v>
      </c>
      <c r="R163" s="2">
        <f>'collected data-merged'!N155</f>
        <v>191.86034259234356</v>
      </c>
      <c r="S163" s="2">
        <f t="shared" si="22"/>
        <v>0.34883698653153372</v>
      </c>
      <c r="T163" s="206">
        <f>'collected data-merged'!T155</f>
        <v>2503245091.6284876</v>
      </c>
      <c r="U163" s="219">
        <f t="shared" si="23"/>
        <v>4551354.7120517958</v>
      </c>
      <c r="V163" s="2">
        <v>2</v>
      </c>
      <c r="W163" s="2">
        <v>2</v>
      </c>
    </row>
    <row r="164" spans="1:23" ht="43.2" hidden="1">
      <c r="B164" s="1" t="s">
        <v>2277</v>
      </c>
      <c r="C164" s="1">
        <v>1</v>
      </c>
      <c r="D164" s="1" t="str">
        <f>'collected data-merged'!D156</f>
        <v>P5</v>
      </c>
      <c r="E164" s="1" t="s">
        <v>704</v>
      </c>
      <c r="F164" s="205" t="str">
        <f>'DCP3 causes and BoD CIV'!B156</f>
        <v>P5</v>
      </c>
      <c r="G164" s="2" t="s">
        <v>262</v>
      </c>
      <c r="H164" s="2" t="s">
        <v>74</v>
      </c>
      <c r="I164" s="2" t="s">
        <v>320</v>
      </c>
      <c r="J164" s="2" t="str">
        <f t="shared" si="19"/>
        <v>Tuberculosis: 0.0815886012685695</v>
      </c>
      <c r="K164" s="1" t="s">
        <v>2251</v>
      </c>
      <c r="L164" s="2">
        <v>330</v>
      </c>
      <c r="M164" s="204">
        <f>'collected data-merged'!R156/'collected data-merged'!Q156</f>
        <v>1.6</v>
      </c>
      <c r="N164" s="205">
        <f t="shared" si="20"/>
        <v>17769.938149503119</v>
      </c>
      <c r="O164" s="205">
        <f>'DCP3 causes and BoD CIV'!E156</f>
        <v>348478.83892033168</v>
      </c>
      <c r="P164" s="212">
        <f>N164/'DCP3 causes and BoD CIV'!E156</f>
        <v>5.099287579285592E-2</v>
      </c>
      <c r="Q164" s="213">
        <f t="shared" si="21"/>
        <v>8.1588601268569483E-2</v>
      </c>
      <c r="R164" s="2">
        <f>'collected data-merged'!N156</f>
        <v>241027.9925667964</v>
      </c>
      <c r="S164" s="2">
        <f t="shared" si="22"/>
        <v>438.23271375781161</v>
      </c>
      <c r="T164" s="206">
        <f>'collected data-merged'!T156</f>
        <v>4607491105.9068804</v>
      </c>
      <c r="U164" s="219">
        <f t="shared" si="23"/>
        <v>8377256.5561943278</v>
      </c>
      <c r="V164" s="2">
        <v>4</v>
      </c>
      <c r="W164" s="2">
        <v>3</v>
      </c>
    </row>
    <row r="165" spans="1:23" ht="43.2" hidden="1">
      <c r="B165" s="1" t="s">
        <v>2277</v>
      </c>
      <c r="C165" s="1">
        <v>1</v>
      </c>
      <c r="D165" s="1" t="str">
        <f>'collected data-merged'!D157</f>
        <v>P6</v>
      </c>
      <c r="E165" s="1" t="s">
        <v>734</v>
      </c>
      <c r="F165" s="205" t="str">
        <f>'DCP3 causes and BoD CIV'!B157</f>
        <v>P6</v>
      </c>
      <c r="G165" s="2" t="s">
        <v>316</v>
      </c>
      <c r="H165" s="2" t="s">
        <v>74</v>
      </c>
      <c r="I165" s="2" t="s">
        <v>2067</v>
      </c>
      <c r="J165" s="2" t="str">
        <f t="shared" si="19"/>
        <v>Chagas disease; Dengue; Visceral leishmaniasis; Typhoid and paratyphoid; Yellow fever; Encephalitis: 2.49540660411767E-05</v>
      </c>
      <c r="K165" s="1" t="s">
        <v>2252</v>
      </c>
      <c r="L165" s="2">
        <v>18</v>
      </c>
      <c r="M165" s="204">
        <f>'collected data-merged'!R157/'collected data-merged'!Q157</f>
        <v>1.6</v>
      </c>
      <c r="N165" s="205">
        <f t="shared" si="20"/>
        <v>0.87966408494394921</v>
      </c>
      <c r="O165" s="205">
        <f>'DCP3 causes and BoD CIV'!E157</f>
        <v>56402.132365437472</v>
      </c>
      <c r="P165" s="212">
        <f>N165/'DCP3 causes and BoD CIV'!E157</f>
        <v>1.5596291275735462E-5</v>
      </c>
      <c r="Q165" s="213">
        <f t="shared" si="21"/>
        <v>2.4954066041176741E-5</v>
      </c>
      <c r="R165" s="2">
        <f>'collected data-merged'!N157</f>
        <v>1004.3214093394406</v>
      </c>
      <c r="S165" s="2">
        <f t="shared" si="22"/>
        <v>1.8260389260717103</v>
      </c>
      <c r="T165" s="206">
        <f>'collected data-merged'!T157</f>
        <v>12440.963487064426</v>
      </c>
      <c r="U165" s="219">
        <f t="shared" si="23"/>
        <v>22.61993361284441</v>
      </c>
      <c r="V165" s="2">
        <v>1</v>
      </c>
      <c r="W165" s="2">
        <v>1</v>
      </c>
    </row>
    <row r="166" spans="1:23" ht="43.2" hidden="1">
      <c r="B166" s="1" t="s">
        <v>2277</v>
      </c>
      <c r="C166" s="1">
        <v>1</v>
      </c>
      <c r="D166" s="1" t="str">
        <f>'collected data-merged'!D158</f>
        <v>RH1</v>
      </c>
      <c r="E166" s="1" t="s">
        <v>639</v>
      </c>
      <c r="F166" s="205" t="str">
        <f>'DCP3 causes and BoD CIV'!B158</f>
        <v>RH1</v>
      </c>
      <c r="G166" s="2" t="s">
        <v>107</v>
      </c>
      <c r="H166" s="2" t="s">
        <v>20</v>
      </c>
      <c r="I166" s="2" t="s">
        <v>377</v>
      </c>
      <c r="J166" s="2" t="str">
        <f t="shared" si="19"/>
        <v>Neonatal disorders: 0.0671818872946862</v>
      </c>
      <c r="K166" s="1" t="str">
        <f>J166</f>
        <v>Neonatal disorders: 0.0671818872946862</v>
      </c>
      <c r="L166" s="2">
        <v>237</v>
      </c>
      <c r="M166" s="204">
        <f>'collected data-merged'!R158/'collected data-merged'!Q158</f>
        <v>1.6</v>
      </c>
      <c r="N166" s="205">
        <f t="shared" si="20"/>
        <v>76094.66249569424</v>
      </c>
      <c r="O166" s="205">
        <f>'DCP3 causes and BoD CIV'!E158</f>
        <v>1812266.1463656269</v>
      </c>
      <c r="P166" s="212">
        <f>N166/'DCP3 causes and BoD CIV'!E158</f>
        <v>4.1988679559178857E-2</v>
      </c>
      <c r="Q166" s="213">
        <f t="shared" si="21"/>
        <v>6.7181887294686174E-2</v>
      </c>
      <c r="R166" s="2">
        <f>'collected data-merged'!N158</f>
        <v>70923.505132480088</v>
      </c>
      <c r="S166" s="2">
        <f t="shared" si="22"/>
        <v>128.95182751360016</v>
      </c>
      <c r="T166" s="206">
        <f>'collected data-merged'!T158</f>
        <v>14169913223.305349</v>
      </c>
      <c r="U166" s="219">
        <f t="shared" si="23"/>
        <v>25763478.58782791</v>
      </c>
      <c r="V166" s="2">
        <v>6</v>
      </c>
      <c r="W166" s="2">
        <v>3</v>
      </c>
    </row>
    <row r="167" spans="1:23" ht="57.6" hidden="1">
      <c r="A167" s="1" t="s">
        <v>2280</v>
      </c>
      <c r="B167" s="1" t="s">
        <v>2277</v>
      </c>
      <c r="C167" s="1">
        <v>0</v>
      </c>
      <c r="D167" s="1" t="str">
        <f>'collected data-merged'!D159</f>
        <v>RH10</v>
      </c>
      <c r="E167" s="1" t="s">
        <v>772</v>
      </c>
      <c r="F167" s="205" t="str">
        <f>'DCP3 causes and BoD CIV'!B159</f>
        <v>RH10</v>
      </c>
      <c r="G167" s="2" t="s">
        <v>94</v>
      </c>
      <c r="H167" s="2" t="s">
        <v>20</v>
      </c>
      <c r="I167" s="2" t="s">
        <v>2037</v>
      </c>
      <c r="J167" s="1" t="str">
        <f t="shared" si="19"/>
        <v>Transport injuries; Unintentional injuries; Exposure to forces of nature; Other unintentional injuries; Exposure to mechanical forces; Foreign body; Self-harm and interpersonal violence: 0</v>
      </c>
      <c r="K167" s="1" t="e">
        <v>#DIV/0!</v>
      </c>
      <c r="L167" s="2">
        <v>1610</v>
      </c>
      <c r="M167" s="204">
        <f>'collected data-merged'!R159/'collected data-merged'!Q159</f>
        <v>1.5000000000000002</v>
      </c>
      <c r="N167" s="205">
        <f t="shared" si="20"/>
        <v>0</v>
      </c>
      <c r="O167" s="205">
        <f>'DCP3 causes and BoD CIV'!E159</f>
        <v>1036192.2036396544</v>
      </c>
      <c r="P167" s="212">
        <f>N167/'DCP3 causes and BoD CIV'!E159</f>
        <v>0</v>
      </c>
      <c r="Q167" s="213">
        <f t="shared" si="21"/>
        <v>0</v>
      </c>
      <c r="R167" s="2">
        <f>'collected data-merged'!N159</f>
        <v>89000.228579904884</v>
      </c>
      <c r="S167" s="2">
        <f t="shared" si="22"/>
        <v>161.81859741800889</v>
      </c>
      <c r="T167" s="206">
        <f>'collected data-merged'!T159</f>
        <v>0</v>
      </c>
      <c r="U167" s="219">
        <f t="shared" si="23"/>
        <v>0</v>
      </c>
      <c r="V167" s="2">
        <v>4</v>
      </c>
      <c r="W167" s="2">
        <v>1</v>
      </c>
    </row>
    <row r="168" spans="1:23" ht="57.6" hidden="1">
      <c r="A168" s="1" t="s">
        <v>2280</v>
      </c>
      <c r="B168" s="1" t="s">
        <v>2277</v>
      </c>
      <c r="C168" s="1">
        <v>0</v>
      </c>
      <c r="D168" s="1" t="str">
        <f>'collected data-merged'!D160</f>
        <v>RH11</v>
      </c>
      <c r="E168" s="1" t="s">
        <v>773</v>
      </c>
      <c r="F168" s="205" t="str">
        <f>'DCP3 causes and BoD CIV'!B160</f>
        <v>RH11</v>
      </c>
      <c r="G168" s="2" t="s">
        <v>286</v>
      </c>
      <c r="H168" s="2" t="s">
        <v>20</v>
      </c>
      <c r="I168" s="2" t="s">
        <v>2037</v>
      </c>
      <c r="J168" s="1" t="str">
        <f t="shared" si="19"/>
        <v>Transport injuries; Unintentional injuries; Exposure to forces of nature; Other unintentional injuries; Exposure to mechanical forces; Foreign body; Self-harm and interpersonal violence: 0</v>
      </c>
      <c r="K168" s="1" t="e">
        <v>#DIV/0!</v>
      </c>
      <c r="L168" s="2">
        <v>1610</v>
      </c>
      <c r="M168" s="204">
        <f>'collected data-merged'!R160/'collected data-merged'!Q160</f>
        <v>1.5000000000000002</v>
      </c>
      <c r="N168" s="205">
        <f t="shared" si="20"/>
        <v>0</v>
      </c>
      <c r="O168" s="205">
        <f>'DCP3 causes and BoD CIV'!E160</f>
        <v>1036192.2036396544</v>
      </c>
      <c r="P168" s="212">
        <f>N168/'DCP3 causes and BoD CIV'!E160</f>
        <v>0</v>
      </c>
      <c r="Q168" s="213">
        <f t="shared" si="21"/>
        <v>0</v>
      </c>
      <c r="R168" s="2">
        <f>'collected data-merged'!N160</f>
        <v>89000.228579904884</v>
      </c>
      <c r="S168" s="2">
        <f t="shared" si="22"/>
        <v>161.81859741800889</v>
      </c>
      <c r="T168" s="206">
        <f>'collected data-merged'!T160</f>
        <v>0</v>
      </c>
      <c r="U168" s="219">
        <f t="shared" si="23"/>
        <v>0</v>
      </c>
      <c r="V168" s="2">
        <v>5</v>
      </c>
      <c r="W168" s="2">
        <v>1</v>
      </c>
    </row>
    <row r="169" spans="1:23" ht="43.2" hidden="1">
      <c r="B169" s="1" t="s">
        <v>2277</v>
      </c>
      <c r="C169" s="1">
        <v>1</v>
      </c>
      <c r="D169" s="1" t="str">
        <f>'collected data-merged'!D161</f>
        <v>RH12</v>
      </c>
      <c r="E169" s="1" t="s">
        <v>778</v>
      </c>
      <c r="F169" s="205" t="str">
        <f>'DCP3 causes and BoD CIV'!B161</f>
        <v>RH12</v>
      </c>
      <c r="G169" s="2" t="s">
        <v>223</v>
      </c>
      <c r="H169" s="2" t="s">
        <v>20</v>
      </c>
      <c r="I169" s="2" t="s">
        <v>605</v>
      </c>
      <c r="J169" s="2" t="str">
        <f t="shared" si="19"/>
        <v>Orofacial clefts: 8.51989487192276</v>
      </c>
      <c r="K169" s="1" t="s">
        <v>2254</v>
      </c>
      <c r="L169" s="2">
        <v>31.18</v>
      </c>
      <c r="M169" s="204">
        <f>'collected data-merged'!R161/'collected data-merged'!Q161</f>
        <v>1.5000000000000002</v>
      </c>
      <c r="N169" s="205">
        <f t="shared" si="20"/>
        <v>40764.68021857163</v>
      </c>
      <c r="O169" s="205">
        <f>'DCP3 causes and BoD CIV'!E161</f>
        <v>7176.968876619233</v>
      </c>
      <c r="P169" s="212">
        <f>N169/'DCP3 causes and BoD CIV'!E161</f>
        <v>5.6799299146151725</v>
      </c>
      <c r="Q169" s="213">
        <f t="shared" si="21"/>
        <v>8.5198948719227605</v>
      </c>
      <c r="R169" s="2">
        <f>'collected data-merged'!N161</f>
        <v>176604.43959243083</v>
      </c>
      <c r="S169" s="2">
        <f t="shared" si="22"/>
        <v>321.09898107714696</v>
      </c>
      <c r="T169" s="206">
        <f>'collected data-merged'!T161</f>
        <v>998676430.09754992</v>
      </c>
      <c r="U169" s="219">
        <f t="shared" si="23"/>
        <v>1815775.3274500908</v>
      </c>
      <c r="V169" s="2">
        <v>4</v>
      </c>
      <c r="W169" s="2">
        <v>1</v>
      </c>
    </row>
    <row r="170" spans="1:23" ht="43.2" hidden="1">
      <c r="B170" s="1" t="s">
        <v>2277</v>
      </c>
      <c r="C170" s="1">
        <v>1</v>
      </c>
      <c r="D170" s="1" t="str">
        <f>'collected data-merged'!D162</f>
        <v>RH13</v>
      </c>
      <c r="E170" s="1" t="s">
        <v>779</v>
      </c>
      <c r="F170" s="205" t="str">
        <f>'DCP3 causes and BoD CIV'!B162</f>
        <v>RH13</v>
      </c>
      <c r="G170" s="2" t="s">
        <v>225</v>
      </c>
      <c r="H170" s="2" t="s">
        <v>20</v>
      </c>
      <c r="I170" s="2" t="s">
        <v>1661</v>
      </c>
      <c r="J170" s="2" t="str">
        <f t="shared" si="19"/>
        <v>Congenital musculoskeletal and limb anomalies: 31.8690868994676</v>
      </c>
      <c r="K170" s="1" t="s">
        <v>2255</v>
      </c>
      <c r="L170" s="2">
        <v>10</v>
      </c>
      <c r="M170" s="204">
        <f>'collected data-merged'!R162/'collected data-merged'!Q162</f>
        <v>1.5000000000000002</v>
      </c>
      <c r="N170" s="205">
        <f t="shared" si="20"/>
        <v>487909.86699128716</v>
      </c>
      <c r="O170" s="205">
        <f>'DCP3 causes and BoD CIV'!E162</f>
        <v>22964.724492911551</v>
      </c>
      <c r="P170" s="212">
        <f>N170/'DCP3 causes and BoD CIV'!E162</f>
        <v>21.246057932978413</v>
      </c>
      <c r="Q170" s="213">
        <f t="shared" si="21"/>
        <v>31.869086899467625</v>
      </c>
      <c r="R170" s="2">
        <f>'collected data-merged'!N162</f>
        <v>176604.43959243083</v>
      </c>
      <c r="S170" s="2">
        <f t="shared" si="22"/>
        <v>321.09898107714696</v>
      </c>
      <c r="T170" s="206">
        <f>'collected data-merged'!T162</f>
        <v>3833577526.3601136</v>
      </c>
      <c r="U170" s="219">
        <f t="shared" si="23"/>
        <v>6970140.9570183884</v>
      </c>
      <c r="V170" s="2">
        <v>4</v>
      </c>
      <c r="W170" s="2">
        <v>3</v>
      </c>
    </row>
    <row r="171" spans="1:23" ht="43.2" hidden="1">
      <c r="B171" s="1" t="s">
        <v>2277</v>
      </c>
      <c r="C171" s="1">
        <v>1</v>
      </c>
      <c r="D171" s="1" t="str">
        <f>'collected data-merged'!D163</f>
        <v>RH14</v>
      </c>
      <c r="E171" s="1" t="s">
        <v>826</v>
      </c>
      <c r="F171" s="205" t="str">
        <f>'DCP3 causes and BoD CIV'!B163</f>
        <v>RH14</v>
      </c>
      <c r="G171" s="2" t="s">
        <v>56</v>
      </c>
      <c r="H171" s="2" t="s">
        <v>20</v>
      </c>
      <c r="I171" s="2" t="s">
        <v>599</v>
      </c>
      <c r="J171" s="2" t="str">
        <f t="shared" si="19"/>
        <v>Cataract: 34.2979013221182</v>
      </c>
      <c r="K171" s="1" t="s">
        <v>2124</v>
      </c>
      <c r="L171" s="2">
        <v>20.49</v>
      </c>
      <c r="M171" s="204">
        <f>'collected data-merged'!R163/'collected data-merged'!Q163</f>
        <v>1.5000000000000002</v>
      </c>
      <c r="N171" s="205">
        <f t="shared" si="20"/>
        <v>451253.88956861757</v>
      </c>
      <c r="O171" s="205">
        <f>'DCP3 causes and BoD CIV'!E163</f>
        <v>19735.342637901151</v>
      </c>
      <c r="P171" s="212">
        <f>N171/'DCP3 causes and BoD CIV'!E163</f>
        <v>22.865267548078826</v>
      </c>
      <c r="Q171" s="213">
        <f t="shared" si="21"/>
        <v>34.297901322118243</v>
      </c>
      <c r="R171" s="2">
        <f>'collected data-merged'!N163</f>
        <v>176604.43959243083</v>
      </c>
      <c r="S171" s="2">
        <f t="shared" si="22"/>
        <v>321.09898107714696</v>
      </c>
      <c r="T171" s="206">
        <f>'collected data-merged'!T163</f>
        <v>7264865297.847908</v>
      </c>
      <c r="U171" s="219">
        <f t="shared" si="23"/>
        <v>13208845.996087106</v>
      </c>
      <c r="V171" s="2">
        <v>3</v>
      </c>
      <c r="W171" s="2">
        <v>1</v>
      </c>
    </row>
    <row r="172" spans="1:23" ht="43.2" hidden="1">
      <c r="A172" s="1" t="s">
        <v>2279</v>
      </c>
      <c r="B172" s="1" t="s">
        <v>2277</v>
      </c>
      <c r="C172" s="1">
        <v>1</v>
      </c>
      <c r="D172" s="1" t="str">
        <f>'collected data-merged'!D164</f>
        <v>RH15</v>
      </c>
      <c r="E172" s="1" t="s">
        <v>827</v>
      </c>
      <c r="F172" s="205" t="str">
        <f>'DCP3 causes and BoD CIV'!B164</f>
        <v>RH15</v>
      </c>
      <c r="G172" s="2" t="s">
        <v>221</v>
      </c>
      <c r="H172" s="2" t="s">
        <v>20</v>
      </c>
      <c r="I172" s="2" t="s">
        <v>1663</v>
      </c>
      <c r="J172" s="2" t="str">
        <f t="shared" si="19"/>
        <v>Digestive congenital anomalies: 0.037244733674836</v>
      </c>
      <c r="K172" s="1" t="s">
        <v>2340</v>
      </c>
      <c r="L172" s="6">
        <v>1610</v>
      </c>
      <c r="M172" s="204">
        <f>'collected data-merged'!R164/'collected data-merged'!Q164</f>
        <v>1.5000000000000002</v>
      </c>
      <c r="N172" s="205">
        <f t="shared" si="20"/>
        <v>1259.9533993592188</v>
      </c>
      <c r="O172" s="205">
        <f>'DCP3 causes and BoD CIV'!E164</f>
        <v>50743.552512384907</v>
      </c>
      <c r="P172" s="212">
        <f>N172/'DCP3 causes and BoD CIV'!E164</f>
        <v>2.482982244989063E-2</v>
      </c>
      <c r="Q172" s="213">
        <f t="shared" si="21"/>
        <v>3.7244733674835953E-2</v>
      </c>
      <c r="R172" s="2">
        <f>'collected data-merged'!N164</f>
        <v>176604.43959243083</v>
      </c>
      <c r="S172" s="2">
        <f t="shared" si="22"/>
        <v>321.09898107714696</v>
      </c>
      <c r="T172" s="206">
        <f>'collected data-merged'!T164</f>
        <v>1593841050.1894119</v>
      </c>
      <c r="U172" s="219">
        <f t="shared" si="23"/>
        <v>2897892.8185262033</v>
      </c>
      <c r="V172" s="2">
        <v>4</v>
      </c>
      <c r="W172" s="2">
        <v>3</v>
      </c>
    </row>
    <row r="173" spans="1:23" ht="43.2" hidden="1">
      <c r="B173" s="1" t="s">
        <v>2277</v>
      </c>
      <c r="C173" s="1">
        <v>1</v>
      </c>
      <c r="D173" s="1" t="str">
        <f>'collected data-merged'!D165</f>
        <v>RH16</v>
      </c>
      <c r="E173" s="1" t="s">
        <v>828</v>
      </c>
      <c r="F173" s="205" t="str">
        <f>'DCP3 causes and BoD CIV'!B165</f>
        <v>RH16</v>
      </c>
      <c r="G173" s="2" t="s">
        <v>227</v>
      </c>
      <c r="H173" s="2" t="s">
        <v>20</v>
      </c>
      <c r="I173" s="2" t="s">
        <v>2068</v>
      </c>
      <c r="J173" s="2" t="str">
        <f t="shared" si="19"/>
        <v>Other maternal disorders; Maternal obstructed labor and uterine rupture; Late maternal deaths: 0.651631059489096</v>
      </c>
      <c r="K173" s="1" t="s">
        <v>2312</v>
      </c>
      <c r="L173" s="6">
        <v>1610</v>
      </c>
      <c r="M173" s="204">
        <f>'collected data-merged'!R165/'collected data-merged'!Q165</f>
        <v>20.047619047619051</v>
      </c>
      <c r="N173" s="205">
        <f t="shared" si="20"/>
        <v>817.22882142750132</v>
      </c>
      <c r="O173" s="205">
        <f>'DCP3 causes and BoD CIV'!E165</f>
        <v>25142.282351548038</v>
      </c>
      <c r="P173" s="212">
        <f>N173/'DCP3 causes and BoD CIV'!E165</f>
        <v>3.2504162112282686E-2</v>
      </c>
      <c r="Q173" s="213">
        <f t="shared" si="21"/>
        <v>0.65163105948909583</v>
      </c>
      <c r="R173" s="2">
        <f>'collected data-merged'!N165</f>
        <v>176604.43959243083</v>
      </c>
      <c r="S173" s="2">
        <f t="shared" si="22"/>
        <v>321.09898107714696</v>
      </c>
      <c r="T173" s="206">
        <f>'collected data-merged'!T165</f>
        <v>1033794459.1057892</v>
      </c>
      <c r="U173" s="219">
        <f t="shared" si="23"/>
        <v>1879626.289283253</v>
      </c>
      <c r="V173" s="2">
        <v>5</v>
      </c>
      <c r="W173" s="2">
        <v>1</v>
      </c>
    </row>
    <row r="174" spans="1:23" ht="43.2" hidden="1">
      <c r="B174" s="1" t="s">
        <v>2277</v>
      </c>
      <c r="C174" s="1">
        <v>1</v>
      </c>
      <c r="D174" s="1" t="str">
        <f>'collected data-merged'!D166</f>
        <v>RH17</v>
      </c>
      <c r="E174" s="1" t="s">
        <v>829</v>
      </c>
      <c r="F174" s="205" t="str">
        <f>'DCP3 causes and BoD CIV'!B166</f>
        <v>RH17</v>
      </c>
      <c r="G174" s="2" t="s">
        <v>132</v>
      </c>
      <c r="H174" s="2" t="s">
        <v>20</v>
      </c>
      <c r="I174" s="2" t="s">
        <v>1568</v>
      </c>
      <c r="J174" s="2" t="str">
        <f t="shared" si="19"/>
        <v>Other neurological disorders: 0.00462357492496392</v>
      </c>
      <c r="K174" s="1" t="s">
        <v>2341</v>
      </c>
      <c r="L174" s="2">
        <v>124.38</v>
      </c>
      <c r="M174" s="204">
        <f>'collected data-merged'!R166/'collected data-merged'!Q166</f>
        <v>1.5000000000000002</v>
      </c>
      <c r="N174" s="205">
        <f t="shared" si="20"/>
        <v>65.219717877808051</v>
      </c>
      <c r="O174" s="205">
        <f>'DCP3 causes and BoD CIV'!E166</f>
        <v>21158.860493101129</v>
      </c>
      <c r="P174" s="212">
        <f>N174/'DCP3 causes and BoD CIV'!E166</f>
        <v>3.082383283309279E-3</v>
      </c>
      <c r="Q174" s="213">
        <f t="shared" si="21"/>
        <v>4.6235749249639189E-3</v>
      </c>
      <c r="R174" s="2">
        <f>'collected data-merged'!N166</f>
        <v>176604.43959243083</v>
      </c>
      <c r="S174" s="2">
        <f t="shared" si="22"/>
        <v>321.09898107714696</v>
      </c>
      <c r="T174" s="206">
        <f>'collected data-merged'!T166</f>
        <v>6373736.6861471012</v>
      </c>
      <c r="U174" s="219">
        <f t="shared" si="23"/>
        <v>11588.612156631094</v>
      </c>
      <c r="V174" s="2">
        <v>4</v>
      </c>
      <c r="W174" s="2">
        <v>3</v>
      </c>
    </row>
    <row r="175" spans="1:23" ht="43.2" hidden="1">
      <c r="B175" s="1" t="s">
        <v>2277</v>
      </c>
      <c r="C175" s="1">
        <v>1</v>
      </c>
      <c r="D175" s="1" t="str">
        <f>'collected data-merged'!D167</f>
        <v>RH18</v>
      </c>
      <c r="E175" s="1" t="s">
        <v>830</v>
      </c>
      <c r="F175" s="205" t="str">
        <f>'DCP3 causes and BoD CIV'!B167</f>
        <v>RH18</v>
      </c>
      <c r="G175" s="2" t="s">
        <v>256</v>
      </c>
      <c r="H175" s="2" t="s">
        <v>20</v>
      </c>
      <c r="I175" s="2" t="s">
        <v>608</v>
      </c>
      <c r="J175" s="2" t="str">
        <f t="shared" si="19"/>
        <v>Trachoma: 0</v>
      </c>
      <c r="K175" s="1" t="s">
        <v>2179</v>
      </c>
      <c r="L175" s="2">
        <v>42.73</v>
      </c>
      <c r="M175" s="204">
        <f>'collected data-merged'!R167/'collected data-merged'!Q167</f>
        <v>1.5000000000000002</v>
      </c>
      <c r="N175" s="205">
        <f t="shared" si="20"/>
        <v>0</v>
      </c>
      <c r="O175" s="205">
        <f>'DCP3 causes and BoD CIV'!E167</f>
        <v>15330.854795305029</v>
      </c>
      <c r="P175" s="212">
        <f>N175/'DCP3 causes and BoD CIV'!E167</f>
        <v>0</v>
      </c>
      <c r="Q175" s="213">
        <f t="shared" si="21"/>
        <v>0</v>
      </c>
      <c r="R175" s="2">
        <f>'collected data-merged'!N167</f>
        <v>176604.43959243083</v>
      </c>
      <c r="S175" s="2">
        <f t="shared" si="22"/>
        <v>321.09898107714696</v>
      </c>
      <c r="T175" s="206">
        <f>'collected data-merged'!T167</f>
        <v>0</v>
      </c>
      <c r="U175" s="219">
        <f t="shared" si="23"/>
        <v>0</v>
      </c>
      <c r="V175" s="2">
        <v>3</v>
      </c>
      <c r="W175" s="2">
        <v>1</v>
      </c>
    </row>
    <row r="176" spans="1:23" ht="43.2" hidden="1">
      <c r="A176" s="1" t="s">
        <v>2279</v>
      </c>
      <c r="B176" s="1" t="s">
        <v>2277</v>
      </c>
      <c r="C176" s="1">
        <v>1</v>
      </c>
      <c r="D176" s="1" t="str">
        <f>'collected data-merged'!D168</f>
        <v>RH2</v>
      </c>
      <c r="E176" s="1" t="s">
        <v>705</v>
      </c>
      <c r="F176" s="205" t="str">
        <f>'DCP3 causes and BoD CIV'!B168</f>
        <v>RH2</v>
      </c>
      <c r="G176" s="2" t="s">
        <v>250</v>
      </c>
      <c r="H176" s="2" t="s">
        <v>20</v>
      </c>
      <c r="I176" s="2" t="s">
        <v>320</v>
      </c>
      <c r="J176" s="2" t="str">
        <f t="shared" si="19"/>
        <v>Tuberculosis: 0.114218929405375</v>
      </c>
      <c r="K176" s="1" t="str">
        <f>J176</f>
        <v>Tuberculosis: 0.114218929405375</v>
      </c>
      <c r="L176" s="6">
        <v>1610</v>
      </c>
      <c r="M176" s="204">
        <f>'collected data-merged'!R168/'collected data-merged'!Q168</f>
        <v>1.6</v>
      </c>
      <c r="N176" s="205">
        <f t="shared" si="20"/>
        <v>24876.799938692751</v>
      </c>
      <c r="O176" s="205">
        <f>'DCP3 causes and BoD CIV'!E168</f>
        <v>348478.83892033168</v>
      </c>
      <c r="P176" s="212">
        <f>N176/'DCP3 causes and BoD CIV'!E168</f>
        <v>7.1386830878359356E-2</v>
      </c>
      <c r="Q176" s="213">
        <f t="shared" si="21"/>
        <v>0.11421892940537498</v>
      </c>
      <c r="R176" s="2">
        <f>'collected data-merged'!N168</f>
        <v>1646220.5441748446</v>
      </c>
      <c r="S176" s="2">
        <f t="shared" si="22"/>
        <v>2993.128262136081</v>
      </c>
      <c r="T176" s="206">
        <f>'collected data-merged'!T168</f>
        <v>31469151922.446331</v>
      </c>
      <c r="U176" s="219">
        <f t="shared" si="23"/>
        <v>57216639.858993329</v>
      </c>
      <c r="V176" s="2">
        <v>4</v>
      </c>
      <c r="W176" s="2">
        <v>3</v>
      </c>
    </row>
    <row r="177" spans="1:23" ht="43.2" hidden="1">
      <c r="A177" s="1" t="s">
        <v>2279</v>
      </c>
      <c r="B177" s="1" t="s">
        <v>2277</v>
      </c>
      <c r="C177" s="1">
        <v>1</v>
      </c>
      <c r="D177" s="1" t="str">
        <f>'collected data-merged'!D169</f>
        <v>RH4</v>
      </c>
      <c r="E177" s="1" t="s">
        <v>753</v>
      </c>
      <c r="F177" s="205" t="str">
        <f>'DCP3 causes and BoD CIV'!B169</f>
        <v>RH4</v>
      </c>
      <c r="G177" s="2" t="s">
        <v>19</v>
      </c>
      <c r="H177" s="2" t="s">
        <v>20</v>
      </c>
      <c r="I177" s="2" t="s">
        <v>2034</v>
      </c>
      <c r="J177" s="2" t="str">
        <f t="shared" si="19"/>
        <v>Chronic obstructive pulmonary disease; Asthma: 0.471294993219566</v>
      </c>
      <c r="K177" s="1" t="s">
        <v>2318</v>
      </c>
      <c r="L177" s="6">
        <v>1610</v>
      </c>
      <c r="M177" s="204">
        <f>'collected data-merged'!R169/'collected data-merged'!Q169</f>
        <v>1.5000000000000002</v>
      </c>
      <c r="N177" s="205">
        <f t="shared" si="20"/>
        <v>55124.934514921741</v>
      </c>
      <c r="O177" s="205">
        <f>'DCP3 causes and BoD CIV'!E169</f>
        <v>175447.23148344667</v>
      </c>
      <c r="P177" s="212">
        <f>N177/'DCP3 causes and BoD CIV'!E169</f>
        <v>0.31419666214637726</v>
      </c>
      <c r="Q177" s="213">
        <f t="shared" si="21"/>
        <v>0.47129499321956597</v>
      </c>
      <c r="R177" s="2">
        <f>'collected data-merged'!N169</f>
        <v>880000</v>
      </c>
      <c r="S177" s="2">
        <f t="shared" si="22"/>
        <v>1600</v>
      </c>
      <c r="T177" s="206">
        <f>'collected data-merged'!T169</f>
        <v>69733042161.376007</v>
      </c>
      <c r="U177" s="219">
        <f t="shared" si="23"/>
        <v>126787349.38432001</v>
      </c>
      <c r="V177" s="2">
        <v>4</v>
      </c>
      <c r="W177" s="2">
        <v>1</v>
      </c>
    </row>
    <row r="178" spans="1:23" ht="43.2" hidden="1">
      <c r="B178" s="1" t="s">
        <v>2277</v>
      </c>
      <c r="C178" s="1">
        <v>1</v>
      </c>
      <c r="D178" s="1" t="str">
        <f>'collected data-merged'!D170</f>
        <v>RH5</v>
      </c>
      <c r="E178" s="1" t="s">
        <v>754</v>
      </c>
      <c r="F178" s="205" t="str">
        <f>'DCP3 causes and BoD CIV'!B170</f>
        <v>RH5</v>
      </c>
      <c r="G178" s="2" t="s">
        <v>232</v>
      </c>
      <c r="H178" s="2" t="s">
        <v>20</v>
      </c>
      <c r="I178" s="2" t="s">
        <v>2069</v>
      </c>
      <c r="J178" s="2" t="str">
        <f t="shared" si="19"/>
        <v>Diabetes mellitus; Hypertensive heart disease; Age-related macular degeneration; Other vision loss: 0.0313839309922089</v>
      </c>
      <c r="K178" s="1" t="s">
        <v>2342</v>
      </c>
      <c r="L178" s="2">
        <v>630.6</v>
      </c>
      <c r="M178" s="204">
        <f>'collected data-merged'!R170/'collected data-merged'!Q170</f>
        <v>1.5000000000000002</v>
      </c>
      <c r="N178" s="205">
        <f t="shared" si="20"/>
        <v>3984.8495135585663</v>
      </c>
      <c r="O178" s="205">
        <f>'DCP3 causes and BoD CIV'!E170</f>
        <v>190456.51966994547</v>
      </c>
      <c r="P178" s="212">
        <f>N178/'DCP3 causes and BoD CIV'!E170</f>
        <v>2.0922620661472612E-2</v>
      </c>
      <c r="Q178" s="213">
        <f t="shared" si="21"/>
        <v>3.1383930992208924E-2</v>
      </c>
      <c r="R178" s="2">
        <f>'collected data-merged'!N170</f>
        <v>11061.826309893331</v>
      </c>
      <c r="S178" s="2">
        <f t="shared" si="22"/>
        <v>20.112411472533328</v>
      </c>
      <c r="T178" s="206">
        <f>'collected data-merged'!T170</f>
        <v>1974379081.125025</v>
      </c>
      <c r="U178" s="219">
        <f t="shared" si="23"/>
        <v>3589780.1475000456</v>
      </c>
      <c r="V178" s="2">
        <v>1</v>
      </c>
      <c r="W178" s="2">
        <v>1</v>
      </c>
    </row>
    <row r="179" spans="1:23" ht="43.2" hidden="1">
      <c r="B179" s="1" t="s">
        <v>2277</v>
      </c>
      <c r="C179" s="1">
        <v>0</v>
      </c>
      <c r="D179" s="1" t="str">
        <f>'collected data-merged'!D171</f>
        <v>RH6</v>
      </c>
      <c r="E179" s="1" t="s">
        <v>755</v>
      </c>
      <c r="F179" s="205" t="str">
        <f>'DCP3 causes and BoD CIV'!B171</f>
        <v>RH6</v>
      </c>
      <c r="G179" s="2" t="s">
        <v>190</v>
      </c>
      <c r="H179" s="2" t="s">
        <v>20</v>
      </c>
      <c r="I179" s="2" t="s">
        <v>480</v>
      </c>
      <c r="J179" s="1" t="str">
        <f t="shared" si="19"/>
        <v>Ischemic heart disease: 0</v>
      </c>
      <c r="K179" s="1" t="s">
        <v>2180</v>
      </c>
      <c r="L179" s="2">
        <v>530</v>
      </c>
      <c r="M179" s="204">
        <f>'collected data-merged'!R171/'collected data-merged'!Q171</f>
        <v>1.2</v>
      </c>
      <c r="N179" s="205">
        <f t="shared" si="20"/>
        <v>0</v>
      </c>
      <c r="O179" s="205">
        <f>'DCP3 causes and BoD CIV'!E171</f>
        <v>4105.4472519851679</v>
      </c>
      <c r="P179" s="212">
        <f>N179/'DCP3 causes and BoD CIV'!E171</f>
        <v>0</v>
      </c>
      <c r="Q179" s="213">
        <f t="shared" si="21"/>
        <v>0</v>
      </c>
      <c r="R179" s="2">
        <f>'collected data-merged'!N171</f>
        <v>0</v>
      </c>
      <c r="S179" s="2">
        <f t="shared" si="22"/>
        <v>0</v>
      </c>
      <c r="T179" s="206">
        <f>'collected data-merged'!T171</f>
        <v>0</v>
      </c>
      <c r="U179" s="219">
        <f t="shared" si="23"/>
        <v>0</v>
      </c>
      <c r="V179" s="2"/>
      <c r="W179" s="2">
        <v>1</v>
      </c>
    </row>
    <row r="180" spans="1:23" ht="43.2" hidden="1">
      <c r="B180" s="1" t="s">
        <v>2277</v>
      </c>
      <c r="C180" s="1">
        <v>1</v>
      </c>
      <c r="D180" s="1" t="str">
        <f>'collected data-merged'!D172</f>
        <v>RH7</v>
      </c>
      <c r="E180" s="1" t="s">
        <v>758</v>
      </c>
      <c r="F180" s="205" t="str">
        <f>'DCP3 causes and BoD CIV'!B172</f>
        <v>RH7</v>
      </c>
      <c r="G180" s="2" t="s">
        <v>609</v>
      </c>
      <c r="H180" s="2" t="s">
        <v>20</v>
      </c>
      <c r="I180" s="2" t="s">
        <v>611</v>
      </c>
      <c r="J180" s="2" t="str">
        <f t="shared" si="19"/>
        <v>Breast cancer: 0.0398976545328391</v>
      </c>
      <c r="K180" s="1" t="str">
        <f>J180</f>
        <v>Breast cancer: 0.0398976545328391</v>
      </c>
      <c r="L180" s="2">
        <v>230</v>
      </c>
      <c r="M180" s="204">
        <f>'collected data-merged'!R172/'collected data-merged'!Q172</f>
        <v>2</v>
      </c>
      <c r="N180" s="205">
        <f t="shared" si="20"/>
        <v>821.41768418292691</v>
      </c>
      <c r="O180" s="205">
        <f>'DCP3 causes and BoD CIV'!E172</f>
        <v>41176.239245183308</v>
      </c>
      <c r="P180" s="212">
        <f>N180/'DCP3 causes and BoD CIV'!E172</f>
        <v>1.9948827266419535E-2</v>
      </c>
      <c r="Q180" s="213">
        <f t="shared" si="21"/>
        <v>3.9897654532839069E-2</v>
      </c>
      <c r="R180" s="2">
        <f>'collected data-merged'!N172</f>
        <v>114664.26605574094</v>
      </c>
      <c r="S180" s="2">
        <f t="shared" si="22"/>
        <v>208.48048373771081</v>
      </c>
      <c r="T180" s="206">
        <f>'collected data-merged'!T172</f>
        <v>148441910.07020038</v>
      </c>
      <c r="U180" s="219">
        <f t="shared" si="23"/>
        <v>269894.3819458189</v>
      </c>
      <c r="V180" s="2">
        <v>4</v>
      </c>
      <c r="W180" s="2">
        <v>1</v>
      </c>
    </row>
    <row r="181" spans="1:23" ht="43.2" hidden="1">
      <c r="B181" s="1" t="s">
        <v>2277</v>
      </c>
      <c r="C181" s="1">
        <v>1</v>
      </c>
      <c r="D181" s="1" t="str">
        <f>'collected data-merged'!D173</f>
        <v>RH8</v>
      </c>
      <c r="E181" s="1" t="s">
        <v>759</v>
      </c>
      <c r="F181" s="205" t="str">
        <f>'DCP3 causes and BoD CIV'!B173</f>
        <v>RH8</v>
      </c>
      <c r="G181" s="2" t="s">
        <v>612</v>
      </c>
      <c r="H181" s="2" t="s">
        <v>20</v>
      </c>
      <c r="I181" s="2" t="s">
        <v>614</v>
      </c>
      <c r="J181" s="2" t="str">
        <f t="shared" si="19"/>
        <v>Colon and rectum cancer: 0.0519607311390751</v>
      </c>
      <c r="K181" s="1" t="str">
        <f>J181</f>
        <v>Colon and rectum cancer: 0.0519607311390751</v>
      </c>
      <c r="L181" s="2">
        <v>427</v>
      </c>
      <c r="M181" s="204">
        <f>'collected data-merged'!R173/'collected data-merged'!Q173</f>
        <v>2</v>
      </c>
      <c r="N181" s="205">
        <f t="shared" si="20"/>
        <v>341.34636577334834</v>
      </c>
      <c r="O181" s="205">
        <f>'DCP3 causes and BoD CIV'!E173</f>
        <v>13138.62827910255</v>
      </c>
      <c r="P181" s="212">
        <f>N181/'DCP3 causes and BoD CIV'!E173</f>
        <v>2.5980365569537554E-2</v>
      </c>
      <c r="Q181" s="213">
        <f t="shared" si="21"/>
        <v>5.1960731139075109E-2</v>
      </c>
      <c r="R181" s="2">
        <f>'collected data-merged'!N173</f>
        <v>607967.85869281983</v>
      </c>
      <c r="S181" s="2">
        <f t="shared" si="22"/>
        <v>1105.3961067142179</v>
      </c>
      <c r="T181" s="206">
        <f>'collected data-merged'!T173</f>
        <v>114521705.71695839</v>
      </c>
      <c r="U181" s="219">
        <f t="shared" si="23"/>
        <v>208221.28312174251</v>
      </c>
      <c r="V181" s="2">
        <v>5</v>
      </c>
      <c r="W181" s="2">
        <v>1</v>
      </c>
    </row>
    <row r="182" spans="1:23" ht="57.6" hidden="1">
      <c r="B182" s="1" t="s">
        <v>2277</v>
      </c>
      <c r="C182" s="1">
        <v>1</v>
      </c>
      <c r="D182" s="1" t="str">
        <f>'collected data-merged'!D174</f>
        <v>RH9</v>
      </c>
      <c r="E182" s="1" t="s">
        <v>760</v>
      </c>
      <c r="F182" s="205" t="str">
        <f>'DCP3 causes and BoD CIV'!B174</f>
        <v>RH9</v>
      </c>
      <c r="G182" s="2" t="s">
        <v>279</v>
      </c>
      <c r="H182" s="2" t="s">
        <v>20</v>
      </c>
      <c r="I182" s="2" t="s">
        <v>2070</v>
      </c>
      <c r="J182" s="2" t="str">
        <f t="shared" si="19"/>
        <v>Brain and nervous system cancer; Hodgkin lymphoma; Acute lymphoid leukemia; Other leukemia; Kidney cancer; Other malignant neoplasms: 0</v>
      </c>
      <c r="K182" s="1" t="s">
        <v>2261</v>
      </c>
      <c r="L182" s="2">
        <v>1539</v>
      </c>
      <c r="M182" s="204">
        <f>'collected data-merged'!R174/'collected data-merged'!Q174</f>
        <v>2</v>
      </c>
      <c r="N182" s="205">
        <f t="shared" si="20"/>
        <v>0</v>
      </c>
      <c r="O182" s="205">
        <f>'DCP3 causes and BoD CIV'!E174</f>
        <v>48377.836943804774</v>
      </c>
      <c r="P182" s="212">
        <f>N182/'DCP3 causes and BoD CIV'!E174</f>
        <v>0</v>
      </c>
      <c r="Q182" s="213">
        <f t="shared" si="21"/>
        <v>0</v>
      </c>
      <c r="R182" s="2">
        <f>'collected data-merged'!N174</f>
        <v>2172200.4842034727</v>
      </c>
      <c r="S182" s="2">
        <f t="shared" si="22"/>
        <v>3949.4554258244957</v>
      </c>
      <c r="T182" s="206">
        <f>'collected data-merged'!T174</f>
        <v>0</v>
      </c>
      <c r="U182" s="219">
        <f t="shared" si="23"/>
        <v>0</v>
      </c>
      <c r="V182" s="2">
        <v>5</v>
      </c>
      <c r="W182" s="2">
        <v>3</v>
      </c>
    </row>
    <row r="183" spans="1:23" hidden="1">
      <c r="C183" s="1">
        <v>1</v>
      </c>
      <c r="F183" s="205"/>
      <c r="G183" s="2" t="s">
        <v>100</v>
      </c>
      <c r="H183" s="2" t="s">
        <v>29</v>
      </c>
      <c r="I183" s="2" t="s">
        <v>1483</v>
      </c>
      <c r="J183" s="2" t="str">
        <f t="shared" si="19"/>
        <v>Other neoplasms: 0.000746961308793908</v>
      </c>
      <c r="K183" s="1" t="str">
        <f>J183</f>
        <v>Other neoplasms: 0.000746961308793908</v>
      </c>
      <c r="L183" s="2">
        <v>402.5</v>
      </c>
      <c r="M183" s="204">
        <f>'collected data-merged'!R175/'collected data-merged'!Q175</f>
        <v>1.6</v>
      </c>
      <c r="N183" s="205">
        <f t="shared" si="20"/>
        <v>74.41535872347383</v>
      </c>
      <c r="O183" s="205">
        <f>SUM('IHME prevalence'!E272:E293)</f>
        <v>40366.821949054196</v>
      </c>
      <c r="P183" s="212">
        <f>N183/'DCP3 causes and BoD CIV'!I254</f>
        <v>4.6685081799619253E-4</v>
      </c>
      <c r="Q183" s="213">
        <f t="shared" si="21"/>
        <v>7.4696130879390807E-4</v>
      </c>
      <c r="R183">
        <f>S183*550</f>
        <v>2915</v>
      </c>
      <c r="S183" s="2">
        <v>5.3</v>
      </c>
      <c r="T183" s="206">
        <f>R183*O183*20%</f>
        <v>23533857.196298599</v>
      </c>
      <c r="U183" s="219">
        <f t="shared" si="23"/>
        <v>42788.831265997454</v>
      </c>
      <c r="V183" s="2">
        <v>3</v>
      </c>
      <c r="W183" s="2">
        <v>3</v>
      </c>
    </row>
    <row r="184" spans="1:23" hidden="1">
      <c r="C184" s="1"/>
      <c r="F184" s="205"/>
      <c r="J184" s="1"/>
      <c r="M184" s="204"/>
      <c r="N184" s="205"/>
      <c r="O184" s="205"/>
      <c r="P184" s="212"/>
      <c r="Q184" s="213"/>
      <c r="S184" s="2"/>
      <c r="U184" s="219"/>
    </row>
    <row r="185" spans="1:23" hidden="1">
      <c r="C185" s="1"/>
      <c r="F185" s="205"/>
      <c r="J185" s="1"/>
      <c r="M185" s="204"/>
      <c r="N185" s="205"/>
      <c r="O185" s="205"/>
      <c r="P185" s="212"/>
      <c r="Q185" s="213"/>
      <c r="S185" s="2"/>
      <c r="U185" s="219"/>
    </row>
    <row r="186" spans="1:23" hidden="1">
      <c r="C186" s="1"/>
      <c r="F186" s="205"/>
      <c r="J186" s="1"/>
      <c r="M186" s="204"/>
      <c r="N186" s="205"/>
      <c r="O186" s="205"/>
      <c r="P186" s="212"/>
      <c r="Q186" s="213"/>
      <c r="S186" s="2"/>
      <c r="U186" s="219"/>
    </row>
    <row r="187" spans="1:23" hidden="1">
      <c r="J187"/>
      <c r="S187" s="2"/>
      <c r="U187" s="219"/>
    </row>
    <row r="1048576" spans="12:12">
      <c r="L1048576">
        <f>SUM(L1:L1048575)</f>
        <v>320817.81999999989</v>
      </c>
    </row>
  </sheetData>
  <autoFilter ref="A9:W187" xr:uid="{4ED1215E-D5D0-410F-BF12-D9065F254211}">
    <filterColumn colId="2">
      <filters>
        <filter val="1"/>
      </filters>
    </filterColumn>
    <filterColumn colId="6">
      <filters>
        <filter val="Medical male circumcision"/>
      </filters>
    </filterColumn>
  </autoFilter>
  <conditionalFormatting sqref="C9:E10 G9:I10 F9:F186 C11:D186 T11:T186 E11:I182 R11:R182 L9:W10 C187 S11:S187 G183:I183 L11:L183 U11:U187 M11:Q186 V11:W183">
    <cfRule type="containsBlanks" dxfId="34" priority="3">
      <formula>LEN(TRIM(C9))=0</formula>
    </cfRule>
  </conditionalFormatting>
  <conditionalFormatting sqref="J9">
    <cfRule type="containsBlanks" dxfId="33" priority="2">
      <formula>LEN(TRIM(J9))=0</formula>
    </cfRule>
  </conditionalFormatting>
  <conditionalFormatting sqref="B9">
    <cfRule type="containsBlanks" dxfId="32" priority="1">
      <formula>LEN(TRIM(B9))=0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L156"/>
  <sheetViews>
    <sheetView zoomScale="125" workbookViewId="0">
      <selection activeCell="D83" sqref="D83"/>
    </sheetView>
  </sheetViews>
  <sheetFormatPr defaultColWidth="8.77734375" defaultRowHeight="14.4"/>
  <cols>
    <col min="2" max="2" width="22" style="1" customWidth="1"/>
    <col min="3" max="3" width="37.77734375" bestFit="1" customWidth="1"/>
    <col min="4" max="4" width="37.77734375" style="2" customWidth="1"/>
    <col min="5" max="5" width="37.77734375" style="1" customWidth="1"/>
    <col min="6" max="6" width="30.77734375" bestFit="1" customWidth="1"/>
    <col min="7" max="7" width="88.77734375" customWidth="1"/>
    <col min="8" max="8" width="12.109375" bestFit="1" customWidth="1"/>
    <col min="9" max="9" width="8" bestFit="1" customWidth="1"/>
    <col min="10" max="10" width="11.109375" bestFit="1" customWidth="1"/>
    <col min="11" max="11" width="4" bestFit="1" customWidth="1"/>
    <col min="12" max="12" width="6" bestFit="1" customWidth="1"/>
  </cols>
  <sheetData>
    <row r="1" spans="1:12">
      <c r="A1" s="1" t="s">
        <v>0</v>
      </c>
      <c r="B1" s="1" t="s">
        <v>293</v>
      </c>
      <c r="C1" s="1" t="s">
        <v>1</v>
      </c>
      <c r="D1" s="2" t="s">
        <v>292</v>
      </c>
      <c r="E1" s="1" t="s">
        <v>294</v>
      </c>
      <c r="F1" s="1" t="s">
        <v>2</v>
      </c>
      <c r="G1" s="1" t="s">
        <v>3</v>
      </c>
      <c r="H1" s="1" t="s">
        <v>4</v>
      </c>
      <c r="I1" s="1" t="s">
        <v>5</v>
      </c>
      <c r="J1" s="1" t="s">
        <v>6</v>
      </c>
      <c r="K1" s="1" t="s">
        <v>7</v>
      </c>
      <c r="L1" s="1" t="s">
        <v>8</v>
      </c>
    </row>
    <row r="2" spans="1:12" ht="57.6">
      <c r="A2" s="1">
        <v>1</v>
      </c>
      <c r="B2" s="1" t="str">
        <f>VLOOKUP(D2, 'code matching'!A:B, 2, FALSE)</f>
        <v>FLH22</v>
      </c>
      <c r="C2" s="1" t="s">
        <v>9</v>
      </c>
      <c r="D2" s="2" t="str">
        <f>VLOOKUP(C2, [3]Sheet1!$A:$B, 2, FALSE)</f>
        <v>Management of acute exacerbations of asthma and COPD using systemic steroids, inhaled beta-agonists, and, if indicated, oral antibiotics and oxygen therapy</v>
      </c>
      <c r="F2" s="1" t="s">
        <v>10</v>
      </c>
      <c r="G2" s="1" t="s">
        <v>11</v>
      </c>
      <c r="H2" s="1">
        <v>7840.0000000000009</v>
      </c>
      <c r="I2" s="1">
        <v>106.2</v>
      </c>
      <c r="J2" s="1">
        <v>2914862.7</v>
      </c>
      <c r="K2" s="1">
        <v>4</v>
      </c>
      <c r="L2" s="1">
        <v>1</v>
      </c>
    </row>
    <row r="3" spans="1:12" ht="57.6">
      <c r="A3" s="1">
        <v>1</v>
      </c>
      <c r="B3" s="1" t="str">
        <f>VLOOKUP(D3, 'code matching'!A:B, 2, FALSE)</f>
        <v>FLH21</v>
      </c>
      <c r="C3" s="1" t="s">
        <v>12</v>
      </c>
      <c r="D3" s="2" t="str">
        <f>VLOOKUP(C3, [3]Sheet1!$A:$B, 2, FALSE)</f>
        <v>Management of acute critical limb ischemia with unfractionated heparin and revascularization where available, with amputation as a last resort</v>
      </c>
      <c r="F3" s="1" t="s">
        <v>10</v>
      </c>
      <c r="G3" s="1" t="s">
        <v>13</v>
      </c>
      <c r="H3" s="1">
        <v>25.714285714285719</v>
      </c>
      <c r="I3" s="1">
        <v>552.20000000000005</v>
      </c>
      <c r="J3" s="1">
        <v>14519.2</v>
      </c>
      <c r="K3" s="1">
        <v>4</v>
      </c>
      <c r="L3" s="1">
        <v>1</v>
      </c>
    </row>
    <row r="4" spans="1:12" ht="28.8">
      <c r="A4" s="1">
        <v>1</v>
      </c>
      <c r="B4" s="1" t="str">
        <f>VLOOKUP(D4, 'code matching'!A:B, 2, FALSE)</f>
        <v>FLH53</v>
      </c>
      <c r="C4" s="1" t="s">
        <v>14</v>
      </c>
      <c r="D4" s="2" t="str">
        <f>VLOOKUP(C4, [3]Sheet1!$A:$B, 2, FALSE)</f>
        <v>Evaluation and acute management of swallowing dysfunction</v>
      </c>
      <c r="F4" s="1" t="s">
        <v>10</v>
      </c>
      <c r="G4" s="1" t="s">
        <v>15</v>
      </c>
      <c r="H4" s="1">
        <v>999999999</v>
      </c>
      <c r="I4" s="1">
        <v>5.3</v>
      </c>
      <c r="J4" s="1">
        <v>0</v>
      </c>
      <c r="K4" s="1">
        <v>2</v>
      </c>
      <c r="L4" s="1">
        <v>1</v>
      </c>
    </row>
    <row r="5" spans="1:12" ht="43.2">
      <c r="A5" s="1">
        <v>1</v>
      </c>
      <c r="B5" s="1" t="str">
        <f>VLOOKUP(D5, 'code matching'!A:B, 2, FALSE)</f>
        <v>C8</v>
      </c>
      <c r="C5" s="1" t="s">
        <v>16</v>
      </c>
      <c r="D5" s="2" t="str">
        <f>VLOOKUP(C5, [3]Sheet1!$A:$B, 2, FALSE)</f>
        <v>Detection and management of acute severe malnutrition and referral in the presence of complications</v>
      </c>
      <c r="F5" s="1" t="s">
        <v>17</v>
      </c>
      <c r="G5" s="1" t="s">
        <v>18</v>
      </c>
      <c r="H5" s="1">
        <v>45.714285714285722</v>
      </c>
      <c r="I5" s="1">
        <v>47.7</v>
      </c>
      <c r="J5" s="1">
        <v>468042.2</v>
      </c>
      <c r="K5" s="1">
        <v>4</v>
      </c>
      <c r="L5" s="1">
        <v>1</v>
      </c>
    </row>
    <row r="6" spans="1:12" ht="57.6">
      <c r="A6" s="1">
        <v>1</v>
      </c>
      <c r="B6" s="1" t="str">
        <f>VLOOKUP(D6, 'code matching'!A:B, 2, FALSE)</f>
        <v>RH4</v>
      </c>
      <c r="C6" s="1" t="s">
        <v>19</v>
      </c>
      <c r="D6" s="2" t="str">
        <f>VLOOKUP(C6, [3]Sheet1!$A:$B, 2, FALSE)</f>
        <v>Management of acute ventilatory failure due to acute exacerbations of asthma and COPD; in COPD use of bilevel positive airway pressure preferred</v>
      </c>
      <c r="F6" s="1" t="s">
        <v>20</v>
      </c>
      <c r="G6" s="1" t="s">
        <v>21</v>
      </c>
      <c r="H6" s="1">
        <v>7840.0000000000009</v>
      </c>
      <c r="I6" s="1">
        <v>217.9</v>
      </c>
      <c r="J6" s="1">
        <v>0</v>
      </c>
      <c r="K6" s="1">
        <v>4</v>
      </c>
      <c r="L6" s="1">
        <v>1</v>
      </c>
    </row>
    <row r="7" spans="1:12" ht="86.4">
      <c r="A7" s="1">
        <v>1</v>
      </c>
      <c r="B7" s="1" t="str">
        <f>VLOOKUP(D7, 'code matching'!A:B, 2, FALSE)</f>
        <v>C23</v>
      </c>
      <c r="C7" s="1" t="s">
        <v>22</v>
      </c>
      <c r="D7" s="2" t="str">
        <f>VLOOKUP(C7, [3]Sheet1!$A:$B, 2, FALSE)</f>
        <v>Adolescent-friendly health services including: provision of condoms to prevent STIs; provision of reversible contraception; treatment of injury in general and abuse in particular; and screening and treatment for STIs</v>
      </c>
      <c r="F7" s="1" t="s">
        <v>17</v>
      </c>
      <c r="G7" s="1" t="s">
        <v>23</v>
      </c>
      <c r="H7" s="1">
        <v>441.42857142857139</v>
      </c>
      <c r="I7" s="1">
        <v>4.2</v>
      </c>
      <c r="J7" s="1">
        <v>118575.1</v>
      </c>
      <c r="K7" s="1">
        <v>3</v>
      </c>
      <c r="L7" s="1">
        <v>2</v>
      </c>
    </row>
    <row r="8" spans="1:12" ht="28.8">
      <c r="A8" s="1">
        <v>1</v>
      </c>
      <c r="B8" s="1" t="str">
        <f>VLOOKUP(D8, 'code matching'!A:B, 2, FALSE)</f>
        <v>C1</v>
      </c>
      <c r="C8" s="1" t="s">
        <v>24</v>
      </c>
      <c r="D8" s="2" t="str">
        <f>VLOOKUP(C8, [3]Sheet1!$A:$B, 2, FALSE)</f>
        <v>Antenatal and postpartum education on family planning</v>
      </c>
      <c r="F8" s="1" t="s">
        <v>17</v>
      </c>
      <c r="G8" s="1" t="s">
        <v>25</v>
      </c>
      <c r="H8" s="1">
        <v>441.42857142857139</v>
      </c>
      <c r="I8" s="1">
        <v>0.2</v>
      </c>
      <c r="J8" s="1">
        <v>6923545.4000000004</v>
      </c>
      <c r="K8" s="1">
        <v>3</v>
      </c>
      <c r="L8" s="1">
        <v>1</v>
      </c>
    </row>
    <row r="9" spans="1:12">
      <c r="A9" s="1">
        <v>1</v>
      </c>
      <c r="B9" s="1" t="str">
        <f>VLOOKUP(D9, 'code matching'!A:B, 2, FALSE)</f>
        <v>FLH31</v>
      </c>
      <c r="C9" s="1" t="s">
        <v>26</v>
      </c>
      <c r="D9" s="2" t="str">
        <f>VLOOKUP(C9, [3]Sheet1!$A:$B, 2, FALSE)</f>
        <v>Appendectomy</v>
      </c>
      <c r="F9" s="1" t="s">
        <v>10</v>
      </c>
      <c r="G9" s="1" t="s">
        <v>27</v>
      </c>
      <c r="H9" s="1">
        <v>441.42857142857139</v>
      </c>
      <c r="I9" s="1">
        <v>161.19999999999999</v>
      </c>
      <c r="J9" s="1">
        <v>209963.5</v>
      </c>
      <c r="K9" s="1">
        <v>6</v>
      </c>
      <c r="L9" s="1">
        <v>1</v>
      </c>
    </row>
    <row r="10" spans="1:12" ht="57.6">
      <c r="A10" s="1">
        <v>1</v>
      </c>
      <c r="B10" s="1" t="str">
        <f>VLOOKUP(D10, 'code matching'!A:B, 2, FALSE)</f>
        <v>HC13</v>
      </c>
      <c r="C10" s="1" t="s">
        <v>28</v>
      </c>
      <c r="D10" s="2" t="str">
        <f>VLOOKUP(C10, [3]Sheet1!$A:$B, 2, FALSE)</f>
        <v>Among all individuals who are known to be HIV positive, immediate ART initiation with regular monitoring of viral load for adherence and development of resistance</v>
      </c>
      <c r="F10" s="1" t="s">
        <v>29</v>
      </c>
      <c r="G10" s="1" t="s">
        <v>30</v>
      </c>
      <c r="H10" s="1">
        <v>91.428571428571431</v>
      </c>
      <c r="I10" s="1">
        <v>196.5</v>
      </c>
      <c r="J10" s="1">
        <v>6196.4</v>
      </c>
      <c r="K10" s="1">
        <v>5</v>
      </c>
      <c r="L10" s="1">
        <v>1</v>
      </c>
    </row>
    <row r="11" spans="1:12" ht="28.8">
      <c r="A11" s="1">
        <v>1</v>
      </c>
      <c r="B11" s="1" t="str">
        <f>VLOOKUP(D11, 'code matching'!A:B, 2, FALSE)</f>
        <v>HC38</v>
      </c>
      <c r="C11" s="1" t="s">
        <v>31</v>
      </c>
      <c r="D11" s="2" t="str">
        <f>VLOOKUP(C11, [3]Sheet1!$A:$B, 2, FALSE)</f>
        <v>Provision of aspirin for all cases of suspected acute myocardial infarction</v>
      </c>
      <c r="F11" s="1" t="s">
        <v>29</v>
      </c>
      <c r="G11" s="1" t="s">
        <v>32</v>
      </c>
      <c r="H11" s="1">
        <v>441.42857142857139</v>
      </c>
      <c r="I11" s="1">
        <v>0</v>
      </c>
      <c r="J11" s="1">
        <v>0</v>
      </c>
      <c r="K11" s="1">
        <v>1</v>
      </c>
      <c r="L11" s="1">
        <v>1</v>
      </c>
    </row>
    <row r="12" spans="1:12" ht="28.8">
      <c r="A12" s="1">
        <v>1</v>
      </c>
      <c r="B12" s="1" t="str">
        <f>VLOOKUP(D12, 'code matching'!A:B, 2, FALSE)</f>
        <v>FLH32</v>
      </c>
      <c r="C12" s="1" t="s">
        <v>33</v>
      </c>
      <c r="D12" s="2" t="str">
        <f>VLOOKUP(C12, [3]Sheet1!$A:$B, 2, FALSE)</f>
        <v>Assisted vaginal delivery using vacuum extraction or forceps</v>
      </c>
      <c r="F12" s="1" t="s">
        <v>10</v>
      </c>
      <c r="G12" s="1" t="s">
        <v>34</v>
      </c>
      <c r="H12" s="1">
        <v>460.00000000000011</v>
      </c>
      <c r="I12" s="1">
        <v>161.19999999999999</v>
      </c>
      <c r="J12" s="1">
        <v>685483.5</v>
      </c>
      <c r="K12" s="1">
        <v>6</v>
      </c>
      <c r="L12" s="1">
        <v>1</v>
      </c>
    </row>
    <row r="13" spans="1:12" ht="57.6">
      <c r="A13" s="1">
        <v>1</v>
      </c>
      <c r="B13" s="1" t="str">
        <f>VLOOKUP(D13, 'code matching'!A:B, 2, FALSE)</f>
        <v>HC64</v>
      </c>
      <c r="C13" s="1" t="s">
        <v>35</v>
      </c>
      <c r="D13" s="2" t="str">
        <f>VLOOKUP(C13, [3]Sheet1!$A:$B, 2, FALSE)</f>
        <v>Basic management of musculoskeletal and neurological injuries and disorders, such as prescription of simple exercises and sling or cast provision</v>
      </c>
      <c r="F13" s="1" t="s">
        <v>29</v>
      </c>
      <c r="G13" s="1" t="s">
        <v>36</v>
      </c>
      <c r="H13" s="1">
        <v>8525.7142857142862</v>
      </c>
      <c r="I13" s="1">
        <v>5.3</v>
      </c>
      <c r="J13" s="1">
        <v>1077906.8999999999</v>
      </c>
      <c r="K13" s="1">
        <v>1</v>
      </c>
      <c r="L13" s="1">
        <v>1</v>
      </c>
    </row>
    <row r="14" spans="1:12">
      <c r="A14" s="1">
        <v>1</v>
      </c>
      <c r="B14" s="1" t="str">
        <f>VLOOKUP(D14, 'code matching'!A:B, 2, FALSE)</f>
        <v>FLH46</v>
      </c>
      <c r="C14" s="1" t="s">
        <v>37</v>
      </c>
      <c r="D14" s="2" t="str">
        <f>VLOOKUP(C14, [3]Sheet1!$A:$B, 2, FALSE)</f>
        <v>Basic skin grafting</v>
      </c>
      <c r="F14" s="1" t="s">
        <v>10</v>
      </c>
      <c r="G14" s="1" t="s">
        <v>38</v>
      </c>
      <c r="H14" s="1">
        <v>85.714285714285722</v>
      </c>
      <c r="I14" s="1">
        <v>161.19999999999999</v>
      </c>
      <c r="J14" s="1">
        <v>247564</v>
      </c>
      <c r="K14" s="1">
        <v>4</v>
      </c>
      <c r="L14" s="1">
        <v>1</v>
      </c>
    </row>
    <row r="15" spans="1:12" ht="57.6">
      <c r="A15" s="1">
        <v>1</v>
      </c>
      <c r="B15" s="1" t="str">
        <f>VLOOKUP(D15, 'code matching'!A:B, 2, FALSE)</f>
        <v>HC11</v>
      </c>
      <c r="C15" s="1" t="s">
        <v>39</v>
      </c>
      <c r="D15" s="2" t="str">
        <f>VLOOKUP(C15, [3]Sheet1!$A:$B, 2, FALSE)</f>
        <v>Management of labor and delivery in low risk women (BEmNOC), including initial treatment of obstetric or delivery complications prior to transfer</v>
      </c>
      <c r="F15" s="1" t="s">
        <v>29</v>
      </c>
      <c r="G15" s="1" t="s">
        <v>40</v>
      </c>
      <c r="H15" s="1">
        <v>210</v>
      </c>
      <c r="I15" s="1">
        <v>81.8</v>
      </c>
      <c r="J15" s="1">
        <v>5008487.4000000004</v>
      </c>
      <c r="K15" s="1">
        <v>6</v>
      </c>
      <c r="L15" s="1">
        <v>1</v>
      </c>
    </row>
    <row r="16" spans="1:12" ht="43.2">
      <c r="A16" s="1">
        <v>1</v>
      </c>
      <c r="B16" s="1" t="str">
        <f>VLOOKUP(D16, 'code matching'!A:B, 2, FALSE)</f>
        <v>HC49</v>
      </c>
      <c r="C16" s="1" t="s">
        <v>41</v>
      </c>
      <c r="D16" s="2" t="str">
        <f>VLOOKUP(C16, [3]Sheet1!$A:$B, 2, FALSE)</f>
        <v>Management of bipolar disorder using generic mood-stabilizing medications and psychosocial treatment</v>
      </c>
      <c r="F16" s="1" t="s">
        <v>29</v>
      </c>
      <c r="G16" s="1" t="s">
        <v>42</v>
      </c>
      <c r="H16" s="1">
        <v>2141.428571428572</v>
      </c>
      <c r="I16" s="1">
        <v>153.30000000000001</v>
      </c>
      <c r="J16" s="1">
        <v>612274.30000000005</v>
      </c>
      <c r="K16" s="1">
        <v>4</v>
      </c>
      <c r="L16" s="1">
        <v>1</v>
      </c>
    </row>
    <row r="17" spans="1:12">
      <c r="A17" s="1">
        <v>1</v>
      </c>
      <c r="B17" s="1" t="str">
        <f>VLOOKUP(D17, 'code matching'!A:B, 2, FALSE)</f>
        <v>FLH24</v>
      </c>
      <c r="C17" s="1" t="s">
        <v>43</v>
      </c>
      <c r="D17" s="2" t="str">
        <f>VLOOKUP(C17, [3]Sheet1!$A:$B, 2, FALSE)</f>
        <v>Management of bowel obstruction</v>
      </c>
      <c r="F17" s="1" t="s">
        <v>10</v>
      </c>
      <c r="G17" s="1" t="s">
        <v>44</v>
      </c>
      <c r="H17" s="1">
        <v>441.42857142857139</v>
      </c>
      <c r="I17" s="1">
        <v>161.19999999999999</v>
      </c>
      <c r="J17" s="1">
        <v>209963.5</v>
      </c>
      <c r="K17" s="1">
        <v>5</v>
      </c>
      <c r="L17" s="1">
        <v>3</v>
      </c>
    </row>
    <row r="18" spans="1:12" ht="28.8">
      <c r="A18" s="1">
        <v>1</v>
      </c>
      <c r="B18" s="1" t="str">
        <f>VLOOKUP(D18, 'code matching'!A:B, 2, FALSE)</f>
        <v>FLH33</v>
      </c>
      <c r="C18" s="1" t="s">
        <v>45</v>
      </c>
      <c r="D18" s="2" t="str">
        <f>VLOOKUP(C18, [3]Sheet1!$A:$B, 2, FALSE)</f>
        <v>Burr hole to relieve acute elevated intracranial pressure</v>
      </c>
      <c r="F18" s="1" t="s">
        <v>10</v>
      </c>
      <c r="G18" s="1" t="s">
        <v>15</v>
      </c>
      <c r="H18" s="1">
        <v>999999999</v>
      </c>
      <c r="I18" s="1">
        <v>93.4</v>
      </c>
      <c r="J18" s="1">
        <v>0</v>
      </c>
      <c r="K18" s="1">
        <v>5</v>
      </c>
      <c r="L18" s="1">
        <v>1</v>
      </c>
    </row>
    <row r="19" spans="1:12" ht="43.2">
      <c r="A19" s="1">
        <v>1</v>
      </c>
      <c r="B19" s="1" t="str">
        <f>VLOOKUP(D19, 'code matching'!A:B, 2, FALSE)</f>
        <v>FLH36</v>
      </c>
      <c r="C19" s="1" t="s">
        <v>46</v>
      </c>
      <c r="D19" s="2" t="str">
        <f>VLOOKUP(C19, [3]Sheet1!$A:$B, 2, FALSE)</f>
        <v>Fracture reduction and placement of external fixator and use of traction for fractures</v>
      </c>
      <c r="F19" s="1" t="s">
        <v>10</v>
      </c>
      <c r="G19" s="1" t="s">
        <v>47</v>
      </c>
      <c r="H19" s="1">
        <v>98.571428571428584</v>
      </c>
      <c r="I19" s="1">
        <v>161.19999999999999</v>
      </c>
      <c r="J19" s="1">
        <v>2634570.2999999998</v>
      </c>
      <c r="K19" s="1">
        <v>5</v>
      </c>
      <c r="L19" s="1">
        <v>1</v>
      </c>
    </row>
    <row r="20" spans="1:12" ht="28.8">
      <c r="A20" s="1">
        <v>1</v>
      </c>
      <c r="B20" s="1" t="str">
        <f>VLOOKUP(D20, 'code matching'!A:B, 2, FALSE)</f>
        <v>HC9</v>
      </c>
      <c r="C20" s="1" t="s">
        <v>48</v>
      </c>
      <c r="D20" s="2" t="str">
        <f>VLOOKUP(C20, [3]Sheet1!$A:$B, 2, FALSE)</f>
        <v>Screening and management of hypertensive disorders in pregnancy</v>
      </c>
      <c r="F20" s="1" t="s">
        <v>29</v>
      </c>
      <c r="G20" s="1" t="s">
        <v>49</v>
      </c>
      <c r="H20" s="1">
        <v>103998.57142857141</v>
      </c>
      <c r="I20" s="1">
        <v>1.1000000000000001</v>
      </c>
      <c r="J20" s="1">
        <v>3402246.7</v>
      </c>
      <c r="K20" s="1">
        <v>1</v>
      </c>
      <c r="L20" s="1">
        <v>1</v>
      </c>
    </row>
    <row r="21" spans="1:12" ht="43.2">
      <c r="A21" s="1">
        <v>1</v>
      </c>
      <c r="B21" s="1" t="str">
        <f>VLOOKUP(D21, 'code matching'!A:B, 2, FALSE)</f>
        <v>HC6</v>
      </c>
      <c r="C21" s="1" t="s">
        <v>50</v>
      </c>
      <c r="D21" s="2" t="str">
        <f>VLOOKUP(C21, [3]Sheet1!$A:$B, 2, FALSE)</f>
        <v>Management of neonatal sepsis, pneumonia, and meningitis using injectable and oral antibiotics</v>
      </c>
      <c r="F21" s="1" t="s">
        <v>29</v>
      </c>
      <c r="G21" s="1" t="s">
        <v>51</v>
      </c>
      <c r="H21" s="1">
        <v>7840.0000000000009</v>
      </c>
      <c r="I21" s="1">
        <v>2.1</v>
      </c>
      <c r="J21" s="1">
        <v>636067.30000000005</v>
      </c>
      <c r="K21" s="1">
        <v>3</v>
      </c>
      <c r="L21" s="1">
        <v>3</v>
      </c>
    </row>
    <row r="22" spans="1:12" ht="28.8">
      <c r="A22" s="1">
        <v>1</v>
      </c>
      <c r="B22" s="1" t="str">
        <f>VLOOKUP(D22, 'code matching'!A:B, 2, FALSE)</f>
        <v>FLH11</v>
      </c>
      <c r="C22" s="1" t="s">
        <v>52</v>
      </c>
      <c r="D22" s="2" t="str">
        <f>VLOOKUP(C22, [3]Sheet1!$A:$B, 2, FALSE)</f>
        <v>Full supportive care for severe childhood infections with danger signs</v>
      </c>
      <c r="F22" s="1" t="s">
        <v>10</v>
      </c>
      <c r="G22" s="1" t="s">
        <v>53</v>
      </c>
      <c r="H22" s="1">
        <v>441.42857142857139</v>
      </c>
      <c r="I22" s="1">
        <v>0</v>
      </c>
      <c r="J22" s="1">
        <v>3828485.6</v>
      </c>
      <c r="K22" s="1">
        <v>4</v>
      </c>
      <c r="L22" s="1">
        <v>2</v>
      </c>
    </row>
    <row r="23" spans="1:12" ht="57.6">
      <c r="A23" s="1">
        <v>1</v>
      </c>
      <c r="B23" s="1" t="str">
        <f>VLOOKUP(D23, 'code matching'!A:B, 2, FALSE)</f>
        <v>C39</v>
      </c>
      <c r="C23" s="1" t="s">
        <v>54</v>
      </c>
      <c r="D23" s="2" t="str">
        <f>VLOOKUP(C23, [3]Sheet1!$A:$B, 2, FALSE)</f>
        <v>In low malaria transmission settings, case investigation, reactive case detection, proactive case detection (including mass screening and treatment)</v>
      </c>
      <c r="F23" s="1" t="s">
        <v>17</v>
      </c>
      <c r="G23" s="1" t="s">
        <v>55</v>
      </c>
      <c r="H23" s="1">
        <v>24.07142857142858</v>
      </c>
      <c r="I23" s="1">
        <v>1.8</v>
      </c>
      <c r="J23" s="1">
        <v>0</v>
      </c>
      <c r="K23" s="1">
        <v>1</v>
      </c>
      <c r="L23" s="1">
        <v>1</v>
      </c>
    </row>
    <row r="24" spans="1:12" ht="28.8">
      <c r="A24" s="1">
        <v>1</v>
      </c>
      <c r="B24" s="1" t="str">
        <f>VLOOKUP(D24, 'code matching'!A:B, 2, FALSE)</f>
        <v>RH14</v>
      </c>
      <c r="C24" s="1" t="s">
        <v>56</v>
      </c>
      <c r="D24" s="2" t="str">
        <f>VLOOKUP(C24, [3]Sheet1!$A:$B, 2, FALSE)</f>
        <v>Cataract extraction and insertion of intraocular lens</v>
      </c>
      <c r="F24" s="1" t="s">
        <v>20</v>
      </c>
      <c r="G24" s="1" t="s">
        <v>57</v>
      </c>
      <c r="H24" s="1">
        <v>100</v>
      </c>
      <c r="I24" s="1">
        <v>200</v>
      </c>
      <c r="J24" s="1">
        <v>0</v>
      </c>
      <c r="K24" s="1">
        <v>3</v>
      </c>
      <c r="L24" s="1">
        <v>1</v>
      </c>
    </row>
    <row r="25" spans="1:12" ht="43.2">
      <c r="A25" s="1">
        <v>1</v>
      </c>
      <c r="B25" s="1" t="str">
        <f>VLOOKUP(D25, 'code matching'!A:B, 2, FALSE)</f>
        <v>C16</v>
      </c>
      <c r="C25" s="1" t="s">
        <v>58</v>
      </c>
      <c r="D25" s="2" t="str">
        <f>VLOOKUP(C25, [3]Sheet1!$A:$B, 2, FALSE)</f>
        <v>Childhood vaccination series (diptheria, pertussis, tetanus, polio, BCG, measles, hepatitis B, Hib, rubella)</v>
      </c>
      <c r="F25" s="1" t="s">
        <v>17</v>
      </c>
      <c r="G25" s="1" t="s">
        <v>59</v>
      </c>
      <c r="H25" s="1">
        <v>147.14285714285711</v>
      </c>
      <c r="I25" s="1">
        <v>8.3000000000000007</v>
      </c>
      <c r="J25" s="1">
        <v>7839505.9000000004</v>
      </c>
      <c r="K25" s="1">
        <v>2</v>
      </c>
      <c r="L25" s="1">
        <v>2</v>
      </c>
    </row>
    <row r="26" spans="1:12">
      <c r="A26" s="1">
        <v>1</v>
      </c>
      <c r="B26" s="1" t="str">
        <f>VLOOKUP(D26, 'code matching'!A:B, 2, FALSE)</f>
        <v>FLH34</v>
      </c>
      <c r="C26" s="1" t="s">
        <v>60</v>
      </c>
      <c r="D26" s="2" t="str">
        <f>VLOOKUP(C26, [3]Sheet1!$A:$B, 2, FALSE)</f>
        <v>Colostomy</v>
      </c>
      <c r="F26" s="1" t="s">
        <v>10</v>
      </c>
      <c r="G26" s="1" t="s">
        <v>61</v>
      </c>
      <c r="H26" s="1">
        <v>67.485714285714295</v>
      </c>
      <c r="I26" s="1">
        <v>161.19999999999999</v>
      </c>
      <c r="J26" s="1">
        <v>34290.6</v>
      </c>
      <c r="K26" s="1">
        <v>5</v>
      </c>
      <c r="L26" s="1">
        <v>3</v>
      </c>
    </row>
    <row r="27" spans="1:12" ht="72">
      <c r="A27" s="1">
        <v>1</v>
      </c>
      <c r="B27" s="1" t="str">
        <f>VLOOKUP(D27, 'code matching'!A:B, 2, FALSE)</f>
        <v>C28</v>
      </c>
      <c r="C27" s="1" t="s">
        <v>62</v>
      </c>
      <c r="D27" s="2" t="str">
        <f>VLOOKUP(C27, [3]Sheet1!$A:$B, 2, FALSE)</f>
        <v>Community-based HIV testing and counseling (for example, mobile units and venue-based testing), with appropriate referral or linkage to care and immediate initiation of lifelong ART</v>
      </c>
      <c r="F27" s="1" t="s">
        <v>17</v>
      </c>
      <c r="G27" s="1" t="s">
        <v>63</v>
      </c>
      <c r="H27" s="1">
        <v>407.14285714285722</v>
      </c>
      <c r="I27" s="1">
        <v>18.3</v>
      </c>
      <c r="J27" s="1">
        <v>794531.5</v>
      </c>
      <c r="K27" s="1">
        <v>4</v>
      </c>
      <c r="L27" s="1">
        <v>1</v>
      </c>
    </row>
    <row r="28" spans="1:12" ht="28.8">
      <c r="A28" s="1">
        <v>1</v>
      </c>
      <c r="B28" s="1" t="str">
        <f>VLOOKUP(D28, 'code matching'!A:B, 2, FALSE)</f>
        <v>FLH52</v>
      </c>
      <c r="C28" s="1" t="s">
        <v>64</v>
      </c>
      <c r="D28" s="2" t="str">
        <f>VLOOKUP(C28, [3]Sheet1!$A:$B, 2, FALSE)</f>
        <v>Compression therapy for amputations, burns, and vascular or lymphatic disorders</v>
      </c>
      <c r="F28" s="1" t="s">
        <v>10</v>
      </c>
      <c r="G28" s="1" t="s">
        <v>65</v>
      </c>
      <c r="H28" s="1">
        <v>441.42857142857139</v>
      </c>
      <c r="I28" s="1">
        <v>5.3</v>
      </c>
      <c r="J28" s="1">
        <v>678045.7</v>
      </c>
      <c r="K28" s="1">
        <v>1</v>
      </c>
      <c r="L28" s="1">
        <v>1</v>
      </c>
    </row>
    <row r="29" spans="1:12" ht="43.2">
      <c r="A29" s="1">
        <v>1</v>
      </c>
      <c r="B29" s="1" t="str">
        <f>VLOOKUP(D29, 'code matching'!A:B, 2, FALSE)</f>
        <v>HC4</v>
      </c>
      <c r="C29" s="1" t="s">
        <v>66</v>
      </c>
      <c r="D29" s="2" t="str">
        <f>VLOOKUP(C29, [3]Sheet1!$A:$B, 2, FALSE)</f>
        <v>Provision of condoms and hormonal contraceptives, including emergency contraceptives</v>
      </c>
      <c r="F29" s="1" t="s">
        <v>29</v>
      </c>
      <c r="G29" s="1" t="s">
        <v>67</v>
      </c>
      <c r="H29" s="1">
        <v>428.57142857142861</v>
      </c>
      <c r="I29" s="1">
        <v>3.9</v>
      </c>
      <c r="J29" s="1">
        <v>227504.4</v>
      </c>
      <c r="K29" s="1">
        <v>2</v>
      </c>
      <c r="L29" s="1">
        <v>2</v>
      </c>
    </row>
    <row r="30" spans="1:12" ht="28.8">
      <c r="A30" s="1">
        <v>1</v>
      </c>
      <c r="B30" s="1" t="str">
        <f>VLOOKUP(D30, 'code matching'!A:B, 2, FALSE)</f>
        <v>C13</v>
      </c>
      <c r="C30" s="1" t="s">
        <v>68</v>
      </c>
      <c r="D30" s="2" t="str">
        <f>VLOOKUP(C30, [3]Sheet1!$A:$B, 2, FALSE)</f>
        <v>Provision of cotrimoxazole to children born to HIV-positive mothers</v>
      </c>
      <c r="F30" s="1" t="s">
        <v>17</v>
      </c>
      <c r="G30" s="1" t="s">
        <v>69</v>
      </c>
      <c r="H30" s="1">
        <v>147.14285714285711</v>
      </c>
      <c r="I30" s="1">
        <v>80.400000000000006</v>
      </c>
      <c r="J30" s="1">
        <v>0</v>
      </c>
      <c r="K30" s="1">
        <v>5</v>
      </c>
      <c r="L30" s="1">
        <v>1</v>
      </c>
    </row>
    <row r="31" spans="1:12" ht="28.8">
      <c r="A31" s="1">
        <v>1</v>
      </c>
      <c r="B31" s="1" t="str">
        <f>VLOOKUP(D31, 'code matching'!A:B, 2, FALSE)</f>
        <v>HC5</v>
      </c>
      <c r="C31" s="1" t="s">
        <v>70</v>
      </c>
      <c r="D31" s="2" t="str">
        <f>VLOOKUP(C31, [3]Sheet1!$A:$B, 2, FALSE)</f>
        <v>Counseling of mothers on providing kangaroo care for newborns</v>
      </c>
      <c r="F31" s="1" t="s">
        <v>29</v>
      </c>
      <c r="G31" s="1" t="s">
        <v>71</v>
      </c>
      <c r="H31" s="1">
        <v>338.57142857142861</v>
      </c>
      <c r="I31" s="1">
        <v>2.4</v>
      </c>
      <c r="J31" s="1">
        <v>641462.5</v>
      </c>
      <c r="K31" s="1">
        <v>3</v>
      </c>
      <c r="L31" s="1">
        <v>3</v>
      </c>
    </row>
    <row r="32" spans="1:12" ht="43.2">
      <c r="A32" s="1">
        <v>1</v>
      </c>
      <c r="B32" s="1" t="str">
        <f>VLOOKUP(D32, 'code matching'!A:B, 2, FALSE)</f>
        <v>C2</v>
      </c>
      <c r="C32" s="1" t="s">
        <v>72</v>
      </c>
      <c r="D32" s="2" t="str">
        <f>VLOOKUP(C32, [3]Sheet1!$A:$B, 2, FALSE)</f>
        <v>Counseling of mothers on providing thermal care for preterm newborns (delayed bath and skin-to-skin contact)</v>
      </c>
      <c r="F32" s="1" t="s">
        <v>17</v>
      </c>
      <c r="G32" s="1" t="s">
        <v>71</v>
      </c>
      <c r="H32" s="1">
        <v>338.57142857142861</v>
      </c>
      <c r="I32" s="1">
        <v>0.1</v>
      </c>
      <c r="J32" s="1">
        <v>641462.5</v>
      </c>
      <c r="K32" s="1">
        <v>2</v>
      </c>
      <c r="L32" s="1">
        <v>2</v>
      </c>
    </row>
    <row r="33" spans="1:12" ht="43.2">
      <c r="A33" s="1">
        <v>1</v>
      </c>
      <c r="B33" s="1" t="str">
        <f>VLOOKUP(D33, 'code matching'!A:B, 2, FALSE)</f>
        <v>P9</v>
      </c>
      <c r="C33" s="1" t="s">
        <v>73</v>
      </c>
      <c r="D33" s="2" t="str">
        <f>VLOOKUP(C33, [3]Sheet1!$A:$B, 2, FALSE)</f>
        <v>Decentralize stocks of anti viral medications in order to reach at-risk groups and disadvantaged populations</v>
      </c>
      <c r="F33" s="1" t="s">
        <v>74</v>
      </c>
      <c r="G33" s="1" t="s">
        <v>15</v>
      </c>
      <c r="H33" s="1">
        <v>999999999</v>
      </c>
      <c r="I33" s="1">
        <v>0.1</v>
      </c>
      <c r="J33" s="1">
        <v>0</v>
      </c>
      <c r="K33" s="1">
        <v>1</v>
      </c>
      <c r="L33" s="1">
        <v>3</v>
      </c>
    </row>
    <row r="34" spans="1:12">
      <c r="A34" s="1">
        <v>1</v>
      </c>
      <c r="B34" s="1" t="str">
        <f>VLOOKUP(D34, 'code matching'!A:B, 2, FALSE)</f>
        <v>HC57</v>
      </c>
      <c r="C34" s="1" t="s">
        <v>75</v>
      </c>
      <c r="D34" s="2" t="str">
        <f>VLOOKUP(C34, [3]Sheet1!$A:$B, 2, FALSE)</f>
        <v>Dental extraction</v>
      </c>
      <c r="F34" s="1" t="s">
        <v>29</v>
      </c>
      <c r="G34" s="1" t="s">
        <v>76</v>
      </c>
      <c r="H34" s="1">
        <v>441.42857142857139</v>
      </c>
      <c r="I34" s="1">
        <v>16.100000000000001</v>
      </c>
      <c r="J34" s="1">
        <v>427401.5</v>
      </c>
      <c r="K34" s="1">
        <v>3</v>
      </c>
      <c r="L34" s="1">
        <v>1</v>
      </c>
    </row>
    <row r="35" spans="1:12" ht="57.6">
      <c r="A35" s="1">
        <v>1</v>
      </c>
      <c r="B35" s="1" t="str">
        <f>VLOOKUP(D35, 'code matching'!A:B, 2, FALSE)</f>
        <v>HC40</v>
      </c>
      <c r="C35" s="1" t="s">
        <v>77</v>
      </c>
      <c r="D35" s="2" t="str">
        <f>VLOOKUP(C35, [3]Sheet1!$A:$B, 2, FALSE)</f>
        <v>Screening and management of diabetes among at-risk adults, including glycemic control, management of blood pressure and lipids, and consistent foot care</v>
      </c>
      <c r="F35" s="1" t="s">
        <v>29</v>
      </c>
      <c r="G35" s="1" t="s">
        <v>78</v>
      </c>
      <c r="H35" s="1">
        <v>24.07714285714286</v>
      </c>
      <c r="I35" s="1">
        <v>73.599999999999994</v>
      </c>
      <c r="J35" s="1">
        <v>170185.9</v>
      </c>
      <c r="K35" s="1">
        <v>3</v>
      </c>
      <c r="L35" s="1">
        <v>1</v>
      </c>
    </row>
    <row r="36" spans="1:12" ht="43.2">
      <c r="A36" s="1">
        <v>1</v>
      </c>
      <c r="B36" s="1" t="str">
        <f>VLOOKUP(D36, 'code matching'!A:B, 2, FALSE)</f>
        <v>HC10</v>
      </c>
      <c r="C36" s="1" t="s">
        <v>79</v>
      </c>
      <c r="D36" s="2" t="str">
        <f>VLOOKUP(C36, [3]Sheet1!$A:$B, 2, FALSE)</f>
        <v>Screening and management of diabetes in pregnancy (gestational diabetes or preexisting type II diabetes)</v>
      </c>
      <c r="F36" s="1" t="s">
        <v>29</v>
      </c>
      <c r="G36" s="1" t="s">
        <v>80</v>
      </c>
      <c r="H36" s="1">
        <v>24.07714285714286</v>
      </c>
      <c r="I36" s="1">
        <v>8.8000000000000007</v>
      </c>
      <c r="J36" s="1">
        <v>0</v>
      </c>
      <c r="K36" s="1">
        <v>2</v>
      </c>
      <c r="L36" s="1">
        <v>3</v>
      </c>
    </row>
    <row r="37" spans="1:12" ht="57.6">
      <c r="A37" s="1">
        <v>1</v>
      </c>
      <c r="B37" s="1" t="str">
        <f>VLOOKUP(D37, 'code matching'!A:B, 2, FALSE)</f>
        <v>C35</v>
      </c>
      <c r="C37" s="1" t="s">
        <v>81</v>
      </c>
      <c r="D37" s="2" t="str">
        <f>VLOOKUP(C37, [3]Sheet1!$A:$B, 2, FALSE)</f>
        <v>In all malaria-endemic countries, diagnosis with rapid test or microscopy (including speciation) followed by treatment with ACTs (or current first-line combination)</v>
      </c>
      <c r="F37" s="1" t="s">
        <v>17</v>
      </c>
      <c r="G37" s="1" t="s">
        <v>82</v>
      </c>
      <c r="H37" s="1">
        <v>44.285714285714292</v>
      </c>
      <c r="I37" s="1">
        <v>3.1</v>
      </c>
      <c r="J37" s="1">
        <v>372109.8</v>
      </c>
      <c r="K37" s="1">
        <v>3</v>
      </c>
      <c r="L37" s="1">
        <v>1</v>
      </c>
    </row>
    <row r="38" spans="1:12" ht="115.2">
      <c r="A38" s="1">
        <v>1</v>
      </c>
      <c r="B38" s="1" t="s">
        <v>700</v>
      </c>
      <c r="C38" s="1" t="s">
        <v>83</v>
      </c>
      <c r="D38" s="2" t="s">
        <v>517</v>
      </c>
      <c r="F38" s="1" t="s">
        <v>29</v>
      </c>
      <c r="G38" s="1" t="s">
        <v>84</v>
      </c>
      <c r="H38" s="1">
        <v>1474.285714285714</v>
      </c>
      <c r="I38" s="1">
        <v>111.3</v>
      </c>
      <c r="J38" s="1">
        <v>3417191</v>
      </c>
      <c r="K38" s="1">
        <v>4</v>
      </c>
      <c r="L38" s="1">
        <v>3</v>
      </c>
    </row>
    <row r="39" spans="1:12">
      <c r="A39" s="1">
        <v>1</v>
      </c>
      <c r="B39" s="1" t="str">
        <f>VLOOKUP(D39, 'code matching'!A:B, 2, FALSE)</f>
        <v>HC58</v>
      </c>
      <c r="C39" s="1" t="s">
        <v>85</v>
      </c>
      <c r="D39" s="2" t="str">
        <f>VLOOKUP(C39, [3]Sheet1!$A:$B, 2, FALSE)</f>
        <v>Drainage of dental abscess</v>
      </c>
      <c r="F39" s="1" t="s">
        <v>29</v>
      </c>
      <c r="G39" s="1" t="s">
        <v>76</v>
      </c>
      <c r="H39" s="1">
        <v>441.42857142857139</v>
      </c>
      <c r="I39" s="1">
        <v>16.100000000000001</v>
      </c>
      <c r="J39" s="1">
        <v>427401.5</v>
      </c>
      <c r="K39" s="1">
        <v>3</v>
      </c>
      <c r="L39" s="1">
        <v>1</v>
      </c>
    </row>
    <row r="40" spans="1:12">
      <c r="A40" s="1">
        <v>1</v>
      </c>
      <c r="B40" s="1" t="str">
        <f>VLOOKUP(D40, 'code matching'!A:B, 2, FALSE)</f>
        <v>HC59</v>
      </c>
      <c r="C40" s="1" t="s">
        <v>86</v>
      </c>
      <c r="D40" s="2" t="str">
        <f>VLOOKUP(C40, [3]Sheet1!$A:$B, 2, FALSE)</f>
        <v>Drainage of superficial abscess</v>
      </c>
      <c r="F40" s="1" t="s">
        <v>29</v>
      </c>
      <c r="G40" s="1" t="s">
        <v>87</v>
      </c>
      <c r="H40" s="1">
        <v>162.91999999999999</v>
      </c>
      <c r="I40" s="1">
        <v>16.100000000000001</v>
      </c>
      <c r="J40" s="1">
        <v>772972.5</v>
      </c>
      <c r="K40" s="1">
        <v>3</v>
      </c>
      <c r="L40" s="1">
        <v>1</v>
      </c>
    </row>
    <row r="41" spans="1:12" ht="43.2">
      <c r="A41" s="1">
        <v>1</v>
      </c>
      <c r="B41" s="1" t="str">
        <f>VLOOKUP(D41, 'code matching'!A:B, 2, FALSE)</f>
        <v>FLH4</v>
      </c>
      <c r="C41" s="1" t="s">
        <v>88</v>
      </c>
      <c r="D41" s="2" t="str">
        <f>VLOOKUP(C41, [3]Sheet1!$A:$B, 2, FALSE)</f>
        <v>Management of eclampsia with magnesium sulfate, including initial stabilization at health centers</v>
      </c>
      <c r="F41" s="1" t="s">
        <v>10</v>
      </c>
      <c r="G41" s="1" t="s">
        <v>89</v>
      </c>
      <c r="H41" s="1">
        <v>24.07142857142858</v>
      </c>
      <c r="I41" s="1">
        <v>39.9</v>
      </c>
      <c r="J41" s="1">
        <v>261129</v>
      </c>
      <c r="K41" s="1">
        <v>5</v>
      </c>
      <c r="L41" s="1">
        <v>3</v>
      </c>
    </row>
    <row r="42" spans="1:12" ht="28.8">
      <c r="A42" s="1">
        <v>1</v>
      </c>
      <c r="B42" s="1" t="str">
        <f>VLOOKUP(D42, 'code matching'!A:B, 2, FALSE)</f>
        <v>C25</v>
      </c>
      <c r="C42" s="1" t="s">
        <v>90</v>
      </c>
      <c r="D42" s="2" t="str">
        <f>VLOOKUP(C42, [3]Sheet1!$A:$B, 2, FALSE)</f>
        <v>Education campaigns for the prevention of gender-based violence</v>
      </c>
      <c r="F42" s="1" t="s">
        <v>17</v>
      </c>
      <c r="G42" s="1" t="s">
        <v>91</v>
      </c>
      <c r="H42" s="1">
        <v>441.42857142857139</v>
      </c>
      <c r="I42" s="1">
        <v>0.2</v>
      </c>
      <c r="J42" s="1">
        <v>0</v>
      </c>
      <c r="K42" s="1">
        <v>1</v>
      </c>
      <c r="L42" s="1">
        <v>1</v>
      </c>
    </row>
    <row r="43" spans="1:12" ht="28.8">
      <c r="A43" s="1">
        <v>1</v>
      </c>
      <c r="B43" s="1" t="str">
        <f>VLOOKUP(D43, 'code matching'!A:B, 2, FALSE)</f>
        <v>C10</v>
      </c>
      <c r="C43" s="1" t="s">
        <v>92</v>
      </c>
      <c r="D43" s="2" t="str">
        <f>VLOOKUP(C43, [3]Sheet1!$A:$B, 2, FALSE)</f>
        <v>Education on handwashing and safe disposal of children's stools</v>
      </c>
      <c r="F43" s="1" t="s">
        <v>17</v>
      </c>
      <c r="G43" s="1" t="s">
        <v>93</v>
      </c>
      <c r="H43" s="1">
        <v>135.71428571428569</v>
      </c>
      <c r="I43" s="1">
        <v>4.3</v>
      </c>
      <c r="J43" s="1">
        <v>163737.9</v>
      </c>
      <c r="K43" s="1">
        <v>3</v>
      </c>
      <c r="L43" s="1">
        <v>1</v>
      </c>
    </row>
    <row r="44" spans="1:12" ht="57.6">
      <c r="A44" s="1">
        <v>1</v>
      </c>
      <c r="B44" s="1" t="str">
        <f>VLOOKUP(D44, 'code matching'!A:B, 2, FALSE)</f>
        <v>RH10</v>
      </c>
      <c r="C44" s="1" t="s">
        <v>94</v>
      </c>
      <c r="D44" s="2" t="str">
        <f>VLOOKUP(C44, [3]Sheet1!$A:$B, 2, FALSE)</f>
        <v>Elective surgical repair of common orthopedic injuries (for example, meniscal and ligamentous tears) in individuals with severe functional limitation</v>
      </c>
      <c r="F44" s="1" t="s">
        <v>20</v>
      </c>
      <c r="G44" s="1" t="s">
        <v>95</v>
      </c>
      <c r="H44" s="1">
        <v>771.42857142857144</v>
      </c>
      <c r="I44" s="1">
        <v>100.8</v>
      </c>
      <c r="J44" s="1">
        <v>0</v>
      </c>
      <c r="K44" s="1">
        <v>4</v>
      </c>
      <c r="L44" s="1">
        <v>1</v>
      </c>
    </row>
    <row r="45" spans="1:12" ht="43.2">
      <c r="A45" s="1">
        <v>1</v>
      </c>
      <c r="B45" s="1" t="str">
        <f>VLOOKUP(D45, 'code matching'!A:B, 2, FALSE)</f>
        <v>HC51</v>
      </c>
      <c r="C45" s="1" t="s">
        <v>96</v>
      </c>
      <c r="D45" s="2" t="str">
        <f>VLOOKUP(C45, [3]Sheet1!$A:$B, 2, FALSE)</f>
        <v>Management of epilepsy, including acute stabilization and long-term management with generic anti-epileptics</v>
      </c>
      <c r="F45" s="1" t="s">
        <v>29</v>
      </c>
      <c r="G45" s="1" t="s">
        <v>97</v>
      </c>
      <c r="H45" s="1">
        <v>164.28571428571431</v>
      </c>
      <c r="I45" s="1">
        <v>22.9</v>
      </c>
      <c r="J45" s="1">
        <v>869023.2</v>
      </c>
      <c r="K45" s="1">
        <v>4</v>
      </c>
      <c r="L45" s="1">
        <v>3</v>
      </c>
    </row>
    <row r="46" spans="1:12">
      <c r="A46" s="1">
        <v>1</v>
      </c>
      <c r="B46" s="1" t="str">
        <f>VLOOKUP(D46, 'code matching'!A:B, 2, FALSE)</f>
        <v>FLH35</v>
      </c>
      <c r="C46" s="1" t="s">
        <v>98</v>
      </c>
      <c r="D46" s="2" t="str">
        <f>VLOOKUP(C46, [3]Sheet1!$A:$B, 2, FALSE)</f>
        <v>Escharotomy or fasciotomy</v>
      </c>
      <c r="F46" s="1" t="s">
        <v>10</v>
      </c>
      <c r="G46" s="1" t="s">
        <v>99</v>
      </c>
      <c r="H46" s="1">
        <v>441.42857142857139</v>
      </c>
      <c r="I46" s="1">
        <v>93.4</v>
      </c>
      <c r="J46" s="1">
        <v>0</v>
      </c>
      <c r="K46" s="1">
        <v>5</v>
      </c>
      <c r="L46" s="1">
        <v>1</v>
      </c>
    </row>
    <row r="47" spans="1:12" ht="57.6">
      <c r="A47" s="1">
        <v>1</v>
      </c>
      <c r="B47" s="1" t="str">
        <f>VLOOKUP(D47, 'code matching'!A:B, 2, FALSE)</f>
        <v>HC47</v>
      </c>
      <c r="C47" s="1" t="s">
        <v>100</v>
      </c>
      <c r="D47" s="2" t="str">
        <f>VLOOKUP(C47, [3]Sheet1!$A:$B, 2, FALSE)</f>
        <v>Essential palliative care and pain control measures, including oral immediate release morphine and medicines for associated symptoms</v>
      </c>
      <c r="F47" s="1" t="s">
        <v>29</v>
      </c>
      <c r="G47" s="1" t="s">
        <v>15</v>
      </c>
      <c r="H47" s="1">
        <v>999999999</v>
      </c>
      <c r="I47" s="1">
        <v>64.400000000000006</v>
      </c>
      <c r="J47" s="1">
        <v>0</v>
      </c>
      <c r="K47" s="1">
        <v>3</v>
      </c>
      <c r="L47" s="1">
        <v>3</v>
      </c>
    </row>
    <row r="48" spans="1:12" ht="28.8">
      <c r="A48" s="1">
        <v>1</v>
      </c>
      <c r="B48" s="1" t="str">
        <f>VLOOKUP(D48, 'code matching'!A:B, 2, FALSE)</f>
        <v>HC21</v>
      </c>
      <c r="C48" s="1" t="s">
        <v>101</v>
      </c>
      <c r="D48" s="2" t="str">
        <f>VLOOKUP(C48, [3]Sheet1!$A:$B, 2, FALSE)</f>
        <v>Partner notification and expedited treatment for common STIs, including HIV</v>
      </c>
      <c r="F48" s="1" t="s">
        <v>29</v>
      </c>
      <c r="G48" s="1" t="s">
        <v>102</v>
      </c>
      <c r="H48" s="1">
        <v>5085.7142857142862</v>
      </c>
      <c r="I48" s="1">
        <v>2.9</v>
      </c>
      <c r="J48" s="1">
        <v>498449.2</v>
      </c>
      <c r="K48" s="1">
        <v>3</v>
      </c>
      <c r="L48" s="1">
        <v>1</v>
      </c>
    </row>
    <row r="49" spans="1:12" ht="57.6">
      <c r="A49" s="1">
        <v>1</v>
      </c>
      <c r="B49" s="1" t="str">
        <f>VLOOKUP(D49, 'code matching'!A:B, 2, FALSE)</f>
        <v>HC30</v>
      </c>
      <c r="C49" s="1" t="s">
        <v>103</v>
      </c>
      <c r="D49" s="2" t="str">
        <f>VLOOKUP(C49, [3]Sheet1!$A:$B, 2, FALSE)</f>
        <v xml:space="preserve">Evaluation and management of fever in clinically stable individuals using WHO IMAI guidelines, with referral of unstable individuals to first-level hospital care  </v>
      </c>
      <c r="F49" s="1" t="s">
        <v>29</v>
      </c>
      <c r="G49" s="1" t="s">
        <v>104</v>
      </c>
      <c r="H49" s="1">
        <v>441.42857142857139</v>
      </c>
      <c r="I49" s="1">
        <v>10.8</v>
      </c>
      <c r="J49" s="1">
        <v>20552606.600000001</v>
      </c>
      <c r="K49" s="1">
        <v>3</v>
      </c>
      <c r="L49" s="1">
        <v>2</v>
      </c>
    </row>
    <row r="50" spans="1:12" ht="72">
      <c r="A50" s="1">
        <v>1</v>
      </c>
      <c r="B50" s="1" t="str">
        <f>VLOOKUP(D50, 'code matching'!A:B, 2, FALSE)</f>
        <v>FLH18</v>
      </c>
      <c r="C50" s="1" t="s">
        <v>105</v>
      </c>
      <c r="D50" s="2" t="str">
        <f>VLOOKUP(C50, [3]Sheet1!$A:$B, 2, FALSE)</f>
        <v>Evaluation and management of fever in clinically unstable individuals using WHO IMAI guidelines, including empiric parenteral antimicrobials and antimalarials and resuscitative measures for septic shock</v>
      </c>
      <c r="F50" s="1" t="s">
        <v>10</v>
      </c>
      <c r="G50" s="1" t="s">
        <v>106</v>
      </c>
      <c r="H50" s="1">
        <v>441.42857142857139</v>
      </c>
      <c r="I50" s="1">
        <v>100.8</v>
      </c>
      <c r="J50" s="1">
        <v>2278409.2000000002</v>
      </c>
      <c r="K50" s="1">
        <v>5</v>
      </c>
      <c r="L50" s="1">
        <v>2</v>
      </c>
    </row>
    <row r="51" spans="1:12">
      <c r="A51" s="1">
        <v>1</v>
      </c>
      <c r="B51" s="1" t="str">
        <f>VLOOKUP(D51, 'code matching'!A:B, 2, FALSE)</f>
        <v>RH1</v>
      </c>
      <c r="C51" s="1" t="s">
        <v>107</v>
      </c>
      <c r="D51" s="2" t="str">
        <f>VLOOKUP(C51, [3]Sheet1!$A:$B, 2, FALSE)</f>
        <v>Full supportive care for preterm newborns</v>
      </c>
      <c r="F51" s="1" t="s">
        <v>20</v>
      </c>
      <c r="G51" s="1" t="s">
        <v>108</v>
      </c>
      <c r="H51" s="1">
        <v>441.42857142857139</v>
      </c>
      <c r="I51" s="1">
        <v>80.3</v>
      </c>
      <c r="J51" s="1">
        <v>0</v>
      </c>
      <c r="K51" s="1">
        <v>6</v>
      </c>
      <c r="L51" s="1">
        <v>3</v>
      </c>
    </row>
    <row r="52" spans="1:12" ht="57.6">
      <c r="A52" s="1">
        <v>1</v>
      </c>
      <c r="B52" s="1" t="str">
        <f>VLOOKUP(D52, 'code matching'!A:B, 2, FALSE)</f>
        <v>C46</v>
      </c>
      <c r="C52" s="1" t="s">
        <v>109</v>
      </c>
      <c r="D52" s="2" t="str">
        <f>VLOOKUP(C52, [3]Sheet1!$A:$B, 2, FALSE)</f>
        <v>In the context of an emerging infectious outbreak, provide advice and guidance on how to recognize early symptoms and signs and when to seek medical attention</v>
      </c>
      <c r="F52" s="1" t="s">
        <v>17</v>
      </c>
      <c r="G52" s="1" t="s">
        <v>15</v>
      </c>
      <c r="H52" s="1">
        <v>999999999</v>
      </c>
      <c r="I52" s="1">
        <v>0.1</v>
      </c>
      <c r="J52" s="1">
        <v>0</v>
      </c>
      <c r="K52" s="1">
        <v>1</v>
      </c>
      <c r="L52" s="1">
        <v>1</v>
      </c>
    </row>
    <row r="53" spans="1:12" ht="72">
      <c r="A53" s="1">
        <v>1</v>
      </c>
      <c r="B53" s="1" t="str">
        <f>VLOOKUP(D53, 'code matching'!A:B, 2, FALSE)</f>
        <v>HC20</v>
      </c>
      <c r="C53" s="1" t="s">
        <v>110</v>
      </c>
      <c r="D53" s="2" t="str">
        <f>VLOOKUP(C53, [3]Sheet1!$A:$B, 2, FALSE)</f>
        <v>Hepatitis B and C testing of individuals identified in the national testing policy (based on endemicity and risk level), with appropriate referral of positive individuals to trained providers</v>
      </c>
      <c r="F53" s="1" t="s">
        <v>29</v>
      </c>
      <c r="G53" s="1" t="s">
        <v>111</v>
      </c>
      <c r="H53" s="1">
        <v>441.42857142857139</v>
      </c>
      <c r="I53" s="1">
        <v>9.1999999999999993</v>
      </c>
      <c r="J53" s="1">
        <v>18042.5</v>
      </c>
      <c r="K53" s="1">
        <v>2</v>
      </c>
      <c r="L53" s="1">
        <v>1</v>
      </c>
    </row>
    <row r="54" spans="1:12">
      <c r="A54" s="1">
        <v>1</v>
      </c>
      <c r="B54" s="1" t="str">
        <f>VLOOKUP(D54, 'code matching'!A:B, 2, FALSE)</f>
        <v>FLH37</v>
      </c>
      <c r="C54" s="1" t="s">
        <v>112</v>
      </c>
      <c r="D54" s="2" t="str">
        <f>VLOOKUP(C54, [3]Sheet1!$A:$B, 2, FALSE)</f>
        <v>Hernia repair including emergency surgery</v>
      </c>
      <c r="F54" s="1" t="s">
        <v>10</v>
      </c>
      <c r="G54" s="1" t="s">
        <v>113</v>
      </c>
      <c r="H54" s="1">
        <v>144.28571428571431</v>
      </c>
      <c r="I54" s="1">
        <v>161.19999999999999</v>
      </c>
      <c r="J54" s="1">
        <v>268680.5</v>
      </c>
      <c r="K54" s="1">
        <v>4</v>
      </c>
      <c r="L54" s="1">
        <v>1</v>
      </c>
    </row>
    <row r="55" spans="1:12" ht="57.6">
      <c r="A55" s="1">
        <v>1</v>
      </c>
      <c r="B55" s="1" t="str">
        <f>VLOOKUP(D55, 'code matching'!A:B, 2, FALSE)</f>
        <v>HC28</v>
      </c>
      <c r="C55" s="1" t="s">
        <v>114</v>
      </c>
      <c r="D55" s="2" t="str">
        <f>VLOOKUP(C55, [3]Sheet1!$A:$B, 2, FALSE)</f>
        <v>Screening for HIV in all individuals with a diagnosis of active TB; if HIV infection is present, start (or refer for) ARV treatment and HIV care</v>
      </c>
      <c r="F55" s="1" t="s">
        <v>29</v>
      </c>
      <c r="G55" s="1" t="s">
        <v>69</v>
      </c>
      <c r="H55" s="1">
        <v>1555.714285714286</v>
      </c>
      <c r="I55" s="1">
        <v>1.7</v>
      </c>
      <c r="J55" s="1">
        <v>6196.4</v>
      </c>
      <c r="K55" s="1">
        <v>2</v>
      </c>
      <c r="L55" s="1">
        <v>3</v>
      </c>
    </row>
    <row r="56" spans="1:12" ht="28.8">
      <c r="A56" s="1">
        <v>1</v>
      </c>
      <c r="B56" s="1" t="str">
        <f>VLOOKUP(D56, 'code matching'!A:B, 2, FALSE)</f>
        <v>FLH38</v>
      </c>
      <c r="C56" s="1" t="s">
        <v>115</v>
      </c>
      <c r="D56" s="2" t="str">
        <f>VLOOKUP(C56, [3]Sheet1!$A:$B, 2, FALSE)</f>
        <v>Hysterectomy for uterine rupture or intractable postpartum hemorrhage</v>
      </c>
      <c r="F56" s="1" t="s">
        <v>10</v>
      </c>
      <c r="G56" s="1" t="s">
        <v>116</v>
      </c>
      <c r="H56" s="1">
        <v>460.28571428571428</v>
      </c>
      <c r="I56" s="1">
        <v>161.19999999999999</v>
      </c>
      <c r="J56" s="1">
        <v>2933046.5</v>
      </c>
      <c r="K56" s="1">
        <v>5</v>
      </c>
      <c r="L56" s="1">
        <v>1</v>
      </c>
    </row>
    <row r="57" spans="1:12" ht="57.6">
      <c r="A57" s="1">
        <v>1</v>
      </c>
      <c r="B57" s="1" t="str">
        <f>VLOOKUP(D57, 'code matching'!A:B, 2, FALSE)</f>
        <v>C45</v>
      </c>
      <c r="C57" s="1" t="s">
        <v>117</v>
      </c>
      <c r="D57" s="2" t="str">
        <f>VLOOKUP(C57, [3]Sheet1!$A:$B, 2, FALSE)</f>
        <v xml:space="preserve">Identify and refer patients with high risk including pregnant women, young children, and those with underlying medical conditions </v>
      </c>
      <c r="F57" s="1" t="s">
        <v>17</v>
      </c>
      <c r="G57" s="1" t="s">
        <v>15</v>
      </c>
      <c r="H57" s="1">
        <v>999999999</v>
      </c>
      <c r="I57" s="1">
        <v>0.1</v>
      </c>
      <c r="J57" s="1">
        <v>0</v>
      </c>
      <c r="K57" s="1">
        <v>2</v>
      </c>
      <c r="L57" s="1">
        <v>2</v>
      </c>
    </row>
    <row r="58" spans="1:12" ht="72">
      <c r="A58" s="1">
        <v>1</v>
      </c>
      <c r="B58" s="1" t="str">
        <f>VLOOKUP(D58, 'code matching'!A:B, 2, FALSE)</f>
        <v>HC43</v>
      </c>
      <c r="C58" s="1" t="s">
        <v>118</v>
      </c>
      <c r="D58" s="2" t="str">
        <f>VLOOKUP(C58, [3]Sheet1!$A:$B, 2, FALSE)</f>
        <v>Long term management of ischemic heart disease, stroke, and peripheral vascular disease with aspirin, beta blockers, ACEi, and statins (as indicated) to reduce risk of further events</v>
      </c>
      <c r="F58" s="1" t="s">
        <v>29</v>
      </c>
      <c r="G58" s="1" t="s">
        <v>119</v>
      </c>
      <c r="H58" s="1">
        <v>24.07142857142858</v>
      </c>
      <c r="I58" s="1">
        <v>64.400000000000006</v>
      </c>
      <c r="J58" s="1">
        <v>60431.3</v>
      </c>
      <c r="K58" s="1">
        <v>2</v>
      </c>
      <c r="L58" s="1">
        <v>1</v>
      </c>
    </row>
    <row r="59" spans="1:12" ht="86.4">
      <c r="A59" s="1">
        <v>1</v>
      </c>
      <c r="B59" s="1" t="str">
        <f>VLOOKUP(D59, 'code matching'!A:B, 2, FALSE)</f>
        <v>P7</v>
      </c>
      <c r="C59" s="1" t="s">
        <v>120</v>
      </c>
      <c r="D59" s="2" t="str">
        <f>VLOOKUP(C59, [3]Sheet1!$A:$B, 2, FALSE)</f>
        <v>Conduct a comprehensive assessment of International Health Regulations (IHR) competencies using the Joint External Evaluation tool and develop, cost, finance and implement an action plan to address gaps in preparedness and response</v>
      </c>
      <c r="F59" s="1" t="s">
        <v>74</v>
      </c>
      <c r="G59" s="1" t="s">
        <v>15</v>
      </c>
      <c r="H59" s="1">
        <v>999999999</v>
      </c>
      <c r="I59" s="1">
        <v>0.1</v>
      </c>
      <c r="J59" s="1">
        <v>0</v>
      </c>
      <c r="K59" s="1">
        <v>1</v>
      </c>
      <c r="L59" s="1">
        <v>3</v>
      </c>
    </row>
    <row r="60" spans="1:12" ht="86.4">
      <c r="A60" s="1">
        <v>1</v>
      </c>
      <c r="B60" s="1" t="str">
        <f>VLOOKUP(D60, 'code matching'!A:B, 2, FALSE)</f>
        <v>FLH55</v>
      </c>
      <c r="C60" s="1" t="s">
        <v>121</v>
      </c>
      <c r="D60" s="2" t="str">
        <f>VLOOKUP(C60, [3]Sheet1!$A:$B, 2, FALSE)</f>
        <v xml:space="preserve">Initial assessment, and prescription, and provision of individualized interventions for musculoskeletal, cardiopulmonary,  neurological, speech and communication, and cognitive deficits, including training in preparation for discharge </v>
      </c>
      <c r="F60" s="1" t="s">
        <v>10</v>
      </c>
      <c r="G60" s="1" t="s">
        <v>122</v>
      </c>
      <c r="H60" s="1">
        <v>441.42857142857139</v>
      </c>
      <c r="I60" s="1">
        <v>5.3</v>
      </c>
      <c r="J60" s="1">
        <v>0</v>
      </c>
      <c r="K60" s="1">
        <v>2</v>
      </c>
      <c r="L60" s="1">
        <v>1</v>
      </c>
    </row>
    <row r="61" spans="1:12" ht="57.6">
      <c r="A61" s="1">
        <v>1</v>
      </c>
      <c r="B61" s="1" t="str">
        <f>VLOOKUP(D61, 'code matching'!A:B, 2, FALSE)</f>
        <v>C17</v>
      </c>
      <c r="C61" s="1" t="s">
        <v>123</v>
      </c>
      <c r="D61" s="2" t="str">
        <f>VLOOKUP(C61, [3]Sheet1!$A:$B, 2, FALSE)</f>
        <v>In high malaria transmission settings, indoor residual spraying (IRS) in selected areas with high transmission and entomologic data on IRS suspectibility</v>
      </c>
      <c r="F61" s="1" t="s">
        <v>17</v>
      </c>
      <c r="G61" s="1" t="s">
        <v>124</v>
      </c>
      <c r="H61" s="1">
        <v>77.142857142857153</v>
      </c>
      <c r="I61" s="1">
        <v>0.5</v>
      </c>
      <c r="J61" s="1">
        <v>0</v>
      </c>
      <c r="K61" s="1">
        <v>1</v>
      </c>
      <c r="L61" s="1">
        <v>1</v>
      </c>
    </row>
    <row r="62" spans="1:12">
      <c r="A62" s="1">
        <v>1</v>
      </c>
      <c r="B62" s="1" t="str">
        <f>VLOOKUP(D62, 'code matching'!A:B, 2, FALSE)</f>
        <v>FLH2</v>
      </c>
      <c r="C62" s="1" t="s">
        <v>125</v>
      </c>
      <c r="D62" s="2" t="str">
        <f>VLOOKUP(C62, [3]Sheet1!$A:$B, 2, FALSE)</f>
        <v>Induction of labor post-term</v>
      </c>
      <c r="F62" s="1" t="s">
        <v>10</v>
      </c>
      <c r="G62" s="1" t="s">
        <v>126</v>
      </c>
      <c r="H62" s="1">
        <v>441.42857142857139</v>
      </c>
      <c r="I62" s="1">
        <v>1.7</v>
      </c>
      <c r="J62" s="1">
        <v>304901.09999999998</v>
      </c>
      <c r="K62" s="1">
        <v>2</v>
      </c>
      <c r="L62" s="1">
        <v>1</v>
      </c>
    </row>
    <row r="63" spans="1:12" ht="72">
      <c r="A63" s="1">
        <v>1</v>
      </c>
      <c r="B63" s="1" t="str">
        <f>VLOOKUP(D63, 'code matching'!A:B, 2, FALSE)</f>
        <v>P11</v>
      </c>
      <c r="C63" s="1" t="s">
        <v>127</v>
      </c>
      <c r="D63" s="2" t="str">
        <f>VLOOKUP(C63, [3]Sheet1!$A:$B, 2, FALSE)</f>
        <v>Develop plans and legal standards for curtailing interactions between infected persons and uninfected population and implement and evaluate infection control measures in health facilities</v>
      </c>
      <c r="F63" s="1" t="s">
        <v>74</v>
      </c>
      <c r="G63" s="1" t="s">
        <v>15</v>
      </c>
      <c r="H63" s="1">
        <v>999999999</v>
      </c>
      <c r="I63" s="1">
        <v>0.1</v>
      </c>
      <c r="J63" s="1">
        <v>0</v>
      </c>
      <c r="K63" s="1">
        <v>1</v>
      </c>
      <c r="L63" s="1">
        <v>2</v>
      </c>
    </row>
    <row r="64" spans="1:12" ht="28.8">
      <c r="A64" s="1">
        <v>1</v>
      </c>
      <c r="B64" s="1" t="str">
        <f>VLOOKUP(D64, 'code matching'!A:B, 2, FALSE)</f>
        <v>P12</v>
      </c>
      <c r="C64" s="1" t="s">
        <v>128</v>
      </c>
      <c r="D64" s="2" t="str">
        <f>VLOOKUP(C64, [3]Sheet1!$A:$B, 2, FALSE)</f>
        <v>Ensure influenza vaccine security at national and subnational level</v>
      </c>
      <c r="F64" s="1" t="s">
        <v>74</v>
      </c>
      <c r="G64" s="1" t="s">
        <v>15</v>
      </c>
      <c r="H64" s="1">
        <v>999999999</v>
      </c>
      <c r="I64" s="1">
        <v>0.1</v>
      </c>
      <c r="J64" s="1">
        <v>0</v>
      </c>
      <c r="K64" s="1">
        <v>1</v>
      </c>
      <c r="L64" s="1">
        <v>3</v>
      </c>
    </row>
    <row r="65" spans="1:12" ht="43.2">
      <c r="A65" s="1">
        <v>1</v>
      </c>
      <c r="B65" s="1" t="str">
        <f>VLOOKUP(D65, 'code matching'!A:B, 2, FALSE)</f>
        <v>HC37</v>
      </c>
      <c r="C65" s="1" t="s">
        <v>129</v>
      </c>
      <c r="D65" s="2" t="str">
        <f>VLOOKUP(C65, [3]Sheet1!$A:$B, 2, FALSE)</f>
        <v>Low-dose inhaled corticosteroids and bronchodilators for asthma and for selected patients with COPD</v>
      </c>
      <c r="F65" s="1" t="s">
        <v>29</v>
      </c>
      <c r="G65" s="1" t="s">
        <v>130</v>
      </c>
      <c r="H65" s="1">
        <v>1571.428571428572</v>
      </c>
      <c r="I65" s="1">
        <v>51</v>
      </c>
      <c r="J65" s="1">
        <v>1546614.5</v>
      </c>
      <c r="K65" s="1">
        <v>2</v>
      </c>
      <c r="L65" s="1">
        <v>1</v>
      </c>
    </row>
    <row r="66" spans="1:12" ht="28.8">
      <c r="A66" s="1">
        <v>1</v>
      </c>
      <c r="B66" s="1" t="str">
        <f>VLOOKUP(D66, 'code matching'!A:B, 2, FALSE)</f>
        <v>FLH14</v>
      </c>
      <c r="C66" s="1" t="s">
        <v>131</v>
      </c>
      <c r="D66" s="2" t="str">
        <f>VLOOKUP(C66, [3]Sheet1!$A:$B, 2, FALSE)</f>
        <v>Insertion and removal of long-lasting contraceptives</v>
      </c>
      <c r="F66" s="1" t="s">
        <v>10</v>
      </c>
      <c r="G66" s="1" t="s">
        <v>15</v>
      </c>
      <c r="H66" s="1">
        <v>999999999</v>
      </c>
      <c r="I66" s="1">
        <v>0</v>
      </c>
      <c r="J66" s="1">
        <v>92945.7</v>
      </c>
      <c r="K66" s="1">
        <v>2</v>
      </c>
      <c r="L66" s="1">
        <v>2</v>
      </c>
    </row>
    <row r="67" spans="1:12">
      <c r="A67" s="1">
        <v>1</v>
      </c>
      <c r="B67" s="1" t="str">
        <f>VLOOKUP(D67, 'code matching'!A:B, 2, FALSE)</f>
        <v>RH17</v>
      </c>
      <c r="C67" s="1" t="s">
        <v>132</v>
      </c>
      <c r="D67" s="2" t="str">
        <f>VLOOKUP(C67, [3]Sheet1!$A:$B, 2, FALSE)</f>
        <v>Insertion of shunt for hydrocephalus</v>
      </c>
      <c r="F67" s="1" t="s">
        <v>20</v>
      </c>
      <c r="G67" s="1" t="s">
        <v>133</v>
      </c>
      <c r="H67" s="1">
        <v>441.42857142857139</v>
      </c>
      <c r="I67" s="1">
        <v>200</v>
      </c>
      <c r="J67" s="1">
        <v>0</v>
      </c>
      <c r="K67" s="1">
        <v>4</v>
      </c>
      <c r="L67" s="1">
        <v>3</v>
      </c>
    </row>
    <row r="68" spans="1:12" ht="43.2">
      <c r="A68" s="1">
        <v>1</v>
      </c>
      <c r="B68" s="1" t="str">
        <f>VLOOKUP(D68, 'code matching'!A:B, 2, FALSE)</f>
        <v>C9</v>
      </c>
      <c r="C68" s="1" t="s">
        <v>134</v>
      </c>
      <c r="D68" s="2" t="str">
        <f>VLOOKUP(C68, [3]Sheet1!$A:$B, 2, FALSE)</f>
        <v>Detection and treatment of childhood infections (iCCM), including referral if danger signs</v>
      </c>
      <c r="F68" s="1" t="s">
        <v>17</v>
      </c>
      <c r="G68" s="1" t="s">
        <v>135</v>
      </c>
      <c r="H68" s="1">
        <v>441.42857142857139</v>
      </c>
      <c r="I68" s="1">
        <v>8.9</v>
      </c>
      <c r="J68" s="1">
        <v>1746627</v>
      </c>
      <c r="K68" s="1">
        <v>3</v>
      </c>
      <c r="L68" s="1">
        <v>2</v>
      </c>
    </row>
    <row r="69" spans="1:12" ht="28.8">
      <c r="A69" s="1">
        <v>1</v>
      </c>
      <c r="B69" s="1" t="str">
        <f>VLOOKUP(D69, 'code matching'!A:B, 2, FALSE)</f>
        <v>HC12</v>
      </c>
      <c r="C69" s="1" t="s">
        <v>136</v>
      </c>
      <c r="D69" s="2" t="str">
        <f>VLOOKUP(C69, [3]Sheet1!$A:$B, 2, FALSE)</f>
        <v>Detection and treatment of childhood infections with danger signs (IMCI)</v>
      </c>
      <c r="F69" s="1" t="s">
        <v>29</v>
      </c>
      <c r="G69" s="1" t="s">
        <v>137</v>
      </c>
      <c r="H69" s="1">
        <v>82.857142857142861</v>
      </c>
      <c r="I69" s="1">
        <v>8.1</v>
      </c>
      <c r="J69" s="1">
        <v>14882501.9</v>
      </c>
      <c r="K69" s="1">
        <v>3</v>
      </c>
      <c r="L69" s="1">
        <v>2</v>
      </c>
    </row>
    <row r="70" spans="1:12" ht="57.6">
      <c r="A70" s="1">
        <v>1</v>
      </c>
      <c r="B70" s="1" t="str">
        <f>VLOOKUP(D70, 'code matching'!A:B, 2, FALSE)</f>
        <v>FLH30</v>
      </c>
      <c r="C70" s="1" t="s">
        <v>138</v>
      </c>
      <c r="D70" s="2" t="str">
        <f>VLOOKUP(C70, [3]Sheet1!$A:$B, 2, FALSE)</f>
        <v xml:space="preserve">Management of intoxication/poisoning syndromes using widely available agents; e.g., activated charcoal, naloxone, bicarbonate, antivenin </v>
      </c>
      <c r="F70" s="1" t="s">
        <v>10</v>
      </c>
      <c r="G70" s="1" t="s">
        <v>139</v>
      </c>
      <c r="H70" s="1">
        <v>441.42857142857139</v>
      </c>
      <c r="I70" s="1">
        <v>56.3</v>
      </c>
      <c r="J70" s="1">
        <v>66888.3</v>
      </c>
      <c r="K70" s="1">
        <v>5</v>
      </c>
      <c r="L70" s="1">
        <v>2</v>
      </c>
    </row>
    <row r="71" spans="1:12" ht="43.2">
      <c r="A71" s="1">
        <v>1</v>
      </c>
      <c r="B71" s="1" t="str">
        <f>VLOOKUP(D71, 'code matching'!A:B, 2, FALSE)</f>
        <v>C7</v>
      </c>
      <c r="C71" s="1" t="s">
        <v>140</v>
      </c>
      <c r="D71" s="2" t="str">
        <f>VLOOKUP(C71, [3]Sheet1!$A:$B, 2, FALSE)</f>
        <v>In high malaria transmission settings, intermittent preventive treatment in pregnancy</v>
      </c>
      <c r="F71" s="1" t="s">
        <v>17</v>
      </c>
      <c r="G71" s="1" t="s">
        <v>141</v>
      </c>
      <c r="H71" s="1">
        <v>70</v>
      </c>
      <c r="I71" s="1">
        <v>0.4</v>
      </c>
      <c r="J71" s="1">
        <v>3955.1</v>
      </c>
      <c r="K71" s="1">
        <v>1</v>
      </c>
      <c r="L71" s="1">
        <v>1</v>
      </c>
    </row>
    <row r="72" spans="1:12" ht="72">
      <c r="A72" s="1">
        <v>1</v>
      </c>
      <c r="B72" s="1" t="str">
        <f>VLOOKUP(D72, 'code matching'!A:B, 2, FALSE)</f>
        <v>C27</v>
      </c>
      <c r="C72" s="1" t="s">
        <v>142</v>
      </c>
      <c r="D72" s="2" t="str">
        <f>VLOOKUP(C72, [3]Sheet1!$A:$B, 2, FALSE)</f>
        <v>Provision of iron and folic acid supplementation to pregnant women, and provision of food or caloric supplementation to pregnant women in food insecure households</v>
      </c>
      <c r="F72" s="1" t="s">
        <v>17</v>
      </c>
      <c r="G72" s="1" t="s">
        <v>143</v>
      </c>
      <c r="H72" s="1">
        <v>407.14285714285722</v>
      </c>
      <c r="I72" s="1">
        <v>5.5</v>
      </c>
      <c r="J72" s="1">
        <v>4146988.2</v>
      </c>
      <c r="K72" s="1">
        <v>2</v>
      </c>
      <c r="L72" s="1">
        <v>1</v>
      </c>
    </row>
    <row r="73" spans="1:12" ht="28.8">
      <c r="A73" s="1">
        <v>1</v>
      </c>
      <c r="B73" s="1" t="str">
        <f>VLOOKUP(D73, 'code matching'!A:B, 2, FALSE)</f>
        <v>FLH39</v>
      </c>
      <c r="C73" s="1" t="s">
        <v>144</v>
      </c>
      <c r="D73" s="2" t="str">
        <f>VLOOKUP(C73, [3]Sheet1!$A:$B, 2, FALSE)</f>
        <v>Irrigation and debridement of open fractures</v>
      </c>
      <c r="F73" s="1" t="s">
        <v>10</v>
      </c>
      <c r="G73" s="1" t="s">
        <v>95</v>
      </c>
      <c r="H73" s="1">
        <v>322.85714285714289</v>
      </c>
      <c r="I73" s="1">
        <v>161.19999999999999</v>
      </c>
      <c r="J73" s="1">
        <v>0</v>
      </c>
      <c r="K73" s="1">
        <v>5</v>
      </c>
      <c r="L73" s="1">
        <v>1</v>
      </c>
    </row>
    <row r="74" spans="1:12" ht="100.8">
      <c r="A74" s="1">
        <v>1</v>
      </c>
      <c r="B74" s="1" t="str">
        <f>VLOOKUP(D74, 'code matching'!A:B, 2, FALSE)</f>
        <v>HC26</v>
      </c>
      <c r="C74" s="1" t="s">
        <v>145</v>
      </c>
      <c r="D74" s="2" t="str">
        <f>VLOOKUP(C74, [3]Sheet1!$A:$B, 2, FALSE)</f>
        <v>For PLHIV and children under five who are close contacts or household members of individuals with active TB, perform symptom screening and chest radiograph; if there is no active TB, provide isoniazid preventive therapy according to current WHO guidelines</v>
      </c>
      <c r="F74" s="1" t="s">
        <v>29</v>
      </c>
      <c r="G74" s="1" t="s">
        <v>146</v>
      </c>
      <c r="H74" s="1">
        <v>3751.428571428572</v>
      </c>
      <c r="I74" s="1">
        <v>73.099999999999994</v>
      </c>
      <c r="J74" s="1">
        <v>173439.5</v>
      </c>
      <c r="K74" s="1">
        <v>5</v>
      </c>
      <c r="L74" s="1">
        <v>3</v>
      </c>
    </row>
    <row r="75" spans="1:12">
      <c r="A75" s="1">
        <v>1</v>
      </c>
      <c r="B75" s="1" t="str">
        <f>VLOOKUP(D75, 'code matching'!A:B, 2, FALSE)</f>
        <v>FLH3</v>
      </c>
      <c r="C75" s="1" t="s">
        <v>147</v>
      </c>
      <c r="D75" s="2" t="str">
        <f>VLOOKUP(C75, [3]Sheet1!$A:$B, 2, FALSE)</f>
        <v>Jaundice management with phototherapy</v>
      </c>
      <c r="F75" s="1" t="s">
        <v>10</v>
      </c>
      <c r="G75" s="1" t="s">
        <v>148</v>
      </c>
      <c r="H75" s="1">
        <v>441.42857142857139</v>
      </c>
      <c r="I75" s="1">
        <v>33.6</v>
      </c>
      <c r="J75" s="1">
        <v>0</v>
      </c>
      <c r="K75" s="1">
        <v>5</v>
      </c>
      <c r="L75" s="1">
        <v>3</v>
      </c>
    </row>
    <row r="76" spans="1:12" ht="43.2">
      <c r="A76" s="1">
        <v>1</v>
      </c>
      <c r="B76" s="1" t="str">
        <f>VLOOKUP(D76, 'code matching'!A:B, 2, FALSE)</f>
        <v>FLH8</v>
      </c>
      <c r="C76" s="1" t="s">
        <v>149</v>
      </c>
      <c r="D76" s="2" t="str">
        <f>VLOOKUP(C76, [3]Sheet1!$A:$B, 2, FALSE)</f>
        <v>Management of labor and delivery in high risk women, including operative delivery (CEmNOC)</v>
      </c>
      <c r="F76" s="1" t="s">
        <v>10</v>
      </c>
      <c r="G76" s="1" t="s">
        <v>150</v>
      </c>
      <c r="H76" s="1">
        <v>110</v>
      </c>
      <c r="I76" s="1">
        <v>242.7</v>
      </c>
      <c r="J76" s="1">
        <v>304935.40000000002</v>
      </c>
      <c r="K76" s="1">
        <v>6</v>
      </c>
      <c r="L76" s="1">
        <v>1</v>
      </c>
    </row>
    <row r="77" spans="1:12" ht="100.8">
      <c r="A77" s="1">
        <v>1</v>
      </c>
      <c r="B77" s="1" t="s">
        <v>702</v>
      </c>
      <c r="C77" s="1" t="s">
        <v>151</v>
      </c>
      <c r="D77" s="2" t="str">
        <f>VLOOKUP(C77, [3]Sheet1!$A:$B, 2, FALSE)</f>
        <v>Screening for latent TB infection following a new diagnosis of HIV, followed by yearly screening among PLHIV at high risk of TB exposure; initiation of isoniazid preventive therapy among all individuals who screen positive but do not have evidence of active TB</v>
      </c>
      <c r="F77" s="1" t="s">
        <v>29</v>
      </c>
      <c r="G77" s="1" t="s">
        <v>146</v>
      </c>
      <c r="H77" s="1">
        <v>3287.1428571428569</v>
      </c>
      <c r="I77" s="1">
        <v>13</v>
      </c>
      <c r="J77" s="1">
        <v>0</v>
      </c>
      <c r="K77" s="1">
        <v>3</v>
      </c>
      <c r="L77" s="1">
        <v>3</v>
      </c>
    </row>
    <row r="78" spans="1:12" ht="57.6">
      <c r="A78" s="1">
        <v>1</v>
      </c>
      <c r="B78" s="1" t="str">
        <f>VLOOKUP(D78, 'code matching'!A:B, 2, FALSE)</f>
        <v>C3</v>
      </c>
      <c r="C78" s="1" t="s">
        <v>152</v>
      </c>
      <c r="D78" s="2" t="str">
        <f>VLOOKUP(C78, [3]Sheet1!$A:$B, 2, FALSE)</f>
        <v>Management of labor and delivery in low risk women by skilled attendants, including basic neonatal resuscitation following delivery</v>
      </c>
      <c r="F78" s="1" t="s">
        <v>17</v>
      </c>
      <c r="G78" s="1" t="s">
        <v>153</v>
      </c>
      <c r="H78" s="1">
        <v>24.285714285714288</v>
      </c>
      <c r="I78" s="1">
        <v>8.3000000000000007</v>
      </c>
      <c r="J78" s="1">
        <v>62189</v>
      </c>
      <c r="K78" s="1">
        <v>4</v>
      </c>
      <c r="L78" s="1">
        <v>3</v>
      </c>
    </row>
    <row r="79" spans="1:12">
      <c r="A79" s="1">
        <v>1</v>
      </c>
      <c r="B79" s="1" t="str">
        <f>VLOOKUP(D79, 'code matching'!A:B, 2, FALSE)</f>
        <v>C42</v>
      </c>
      <c r="C79" s="1" t="s">
        <v>154</v>
      </c>
      <c r="D79" s="2" t="str">
        <f>VLOOKUP(C79, [3]Sheet1!$A:$B, 2, FALSE)</f>
        <v>Management of lymphedema</v>
      </c>
      <c r="F79" s="1" t="s">
        <v>17</v>
      </c>
      <c r="G79" s="1" t="s">
        <v>155</v>
      </c>
      <c r="H79" s="1">
        <v>441.42857142857139</v>
      </c>
      <c r="I79" s="1">
        <v>5.3</v>
      </c>
      <c r="J79" s="1">
        <v>0</v>
      </c>
      <c r="K79" s="1">
        <v>2</v>
      </c>
      <c r="L79" s="1">
        <v>1</v>
      </c>
    </row>
    <row r="80" spans="1:12" ht="43.2">
      <c r="A80" s="1">
        <v>1</v>
      </c>
      <c r="B80" s="1" t="str">
        <f>VLOOKUP(D80, 'code matching'!A:B, 2, FALSE)</f>
        <v>FLH20</v>
      </c>
      <c r="C80" s="1" t="s">
        <v>156</v>
      </c>
      <c r="D80" s="2" t="str">
        <f>VLOOKUP(C80, [3]Sheet1!$A:$B, 2, FALSE)</f>
        <v>Management of acute coronary syndromes with aspirin, unfractionated heparin, and generic thrombolytics (when indicated)</v>
      </c>
      <c r="F80" s="1" t="s">
        <v>10</v>
      </c>
      <c r="G80" s="1" t="s">
        <v>157</v>
      </c>
      <c r="H80" s="1">
        <v>3614.2857142857151</v>
      </c>
      <c r="I80" s="1">
        <v>451.4</v>
      </c>
      <c r="J80" s="1">
        <v>14519.2</v>
      </c>
      <c r="K80" s="1">
        <v>4</v>
      </c>
      <c r="L80" s="1">
        <v>1</v>
      </c>
    </row>
    <row r="81" spans="1:12" ht="57.6">
      <c r="A81" s="1">
        <v>1</v>
      </c>
      <c r="B81" s="1" t="str">
        <f>VLOOKUP(D81, 'code matching'!A:B, 2, FALSE)</f>
        <v>FLH6</v>
      </c>
      <c r="C81" s="1" t="s">
        <v>158</v>
      </c>
      <c r="D81" s="2" t="str">
        <f>VLOOKUP(C81, [3]Sheet1!$A:$B, 2, FALSE)</f>
        <v>Management of newborn complications, neonatal meningitis, and other very serious infections requiring continuous supportive care (IV fluids, oxygen, etc.)</v>
      </c>
      <c r="F81" s="1" t="s">
        <v>10</v>
      </c>
      <c r="G81" s="1" t="s">
        <v>159</v>
      </c>
      <c r="H81" s="1">
        <v>441.42857142857139</v>
      </c>
      <c r="I81" s="1">
        <v>0</v>
      </c>
      <c r="J81" s="1">
        <v>504204.79999999999</v>
      </c>
      <c r="K81" s="1">
        <v>3</v>
      </c>
      <c r="L81" s="1">
        <v>3</v>
      </c>
    </row>
    <row r="82" spans="1:12" ht="57.6">
      <c r="A82" s="1">
        <v>1</v>
      </c>
      <c r="B82" s="1" t="str">
        <f>VLOOKUP(D82, 'code matching'!A:B, 2, FALSE)</f>
        <v>HC17</v>
      </c>
      <c r="C82" s="1" t="s">
        <v>160</v>
      </c>
      <c r="D82" s="2" t="str">
        <f>VLOOKUP(C82, [3]Sheet1!$A:$B, 2, FALSE)</f>
        <v>Syndromic management of common sexual and reproductive tract infections (for example uretheral discharge, genital ulcer, and others) according to WHO guidelines</v>
      </c>
      <c r="F82" s="1" t="s">
        <v>29</v>
      </c>
      <c r="G82" s="1" t="s">
        <v>161</v>
      </c>
      <c r="H82" s="1">
        <v>232.75</v>
      </c>
      <c r="I82" s="1">
        <v>2.9</v>
      </c>
      <c r="J82" s="1">
        <v>4259264.5</v>
      </c>
      <c r="K82" s="1">
        <v>3</v>
      </c>
      <c r="L82" s="1">
        <v>1</v>
      </c>
    </row>
    <row r="83" spans="1:12" ht="72">
      <c r="A83" s="1">
        <v>1</v>
      </c>
      <c r="B83" s="1" t="str">
        <f>VLOOKUP(D83, 'code matching'!A:B, 2, FALSE)</f>
        <v>C21</v>
      </c>
      <c r="C83" s="1" t="s">
        <v>162</v>
      </c>
      <c r="D83" s="2" t="str">
        <f>VLOOKUP(C83, [3]Sheet1!$A:$B, 2, FALSE)</f>
        <v>Mass drug administration for lymphatic filariasis, onchocerciasis, schistosomiasis, soil-transmitted helminthiases and trachoma, and foodborne trematode infections</v>
      </c>
      <c r="F83" s="1" t="s">
        <v>17</v>
      </c>
      <c r="G83" s="1" t="s">
        <v>163</v>
      </c>
      <c r="H83" s="1">
        <v>162.85714285714289</v>
      </c>
      <c r="I83" s="1">
        <v>0.5</v>
      </c>
      <c r="J83" s="1">
        <v>0</v>
      </c>
      <c r="K83" s="1">
        <v>1</v>
      </c>
      <c r="L83" s="1">
        <v>1</v>
      </c>
    </row>
    <row r="84" spans="1:12" ht="43.2">
      <c r="A84" s="1">
        <v>1</v>
      </c>
      <c r="B84" s="1" t="str">
        <f>VLOOKUP(D84, 'code matching'!A:B, 2, FALSE)</f>
        <v>P1</v>
      </c>
      <c r="C84" s="1" t="s">
        <v>164</v>
      </c>
      <c r="D84" s="2" t="str">
        <f>VLOOKUP(C84, [3]Sheet1!$A:$B, 2, FALSE)</f>
        <v>Mass media messages concerning sexual and reproductive health and mental health for adolescents</v>
      </c>
      <c r="F84" s="1" t="s">
        <v>74</v>
      </c>
      <c r="G84" s="1" t="s">
        <v>165</v>
      </c>
      <c r="H84" s="1">
        <v>441.42857142857139</v>
      </c>
      <c r="I84" s="1">
        <v>1.2</v>
      </c>
      <c r="J84" s="1">
        <v>158342.6</v>
      </c>
      <c r="K84" s="1">
        <v>1</v>
      </c>
      <c r="L84" s="1">
        <v>2</v>
      </c>
    </row>
    <row r="85" spans="1:12" ht="28.8">
      <c r="A85" s="1">
        <v>1</v>
      </c>
      <c r="B85" s="1" t="str">
        <f>VLOOKUP(D85, 'code matching'!A:B, 2, FALSE)</f>
        <v>P3</v>
      </c>
      <c r="C85" s="1" t="s">
        <v>166</v>
      </c>
      <c r="D85" s="2" t="str">
        <f>VLOOKUP(C85, [3]Sheet1!$A:$B, 2, FALSE)</f>
        <v>Mass media messages concerning use of tobacco and alcohol</v>
      </c>
      <c r="F85" s="1" t="s">
        <v>74</v>
      </c>
      <c r="G85" s="1" t="s">
        <v>167</v>
      </c>
      <c r="H85" s="1">
        <v>441.42857142857139</v>
      </c>
      <c r="I85" s="1">
        <v>0</v>
      </c>
      <c r="J85" s="1">
        <v>158342.6</v>
      </c>
      <c r="K85" s="1">
        <v>1</v>
      </c>
      <c r="L85" s="1">
        <v>1</v>
      </c>
    </row>
    <row r="86" spans="1:12" ht="28.8">
      <c r="A86" s="1">
        <v>1</v>
      </c>
      <c r="B86" s="1" t="str">
        <f>VLOOKUP(D86, 'code matching'!A:B, 2, FALSE)</f>
        <v>P2</v>
      </c>
      <c r="C86" s="1" t="s">
        <v>168</v>
      </c>
      <c r="D86" s="2" t="str">
        <f>VLOOKUP(C86, [3]Sheet1!$A:$B, 2, FALSE)</f>
        <v>Mass media messages concerning healthy eating or physical activity</v>
      </c>
      <c r="F86" s="1" t="s">
        <v>74</v>
      </c>
      <c r="G86" s="1" t="s">
        <v>169</v>
      </c>
      <c r="H86" s="1">
        <v>32.857142857142861</v>
      </c>
      <c r="I86" s="1">
        <v>0</v>
      </c>
      <c r="J86" s="1">
        <v>158342.6</v>
      </c>
      <c r="K86" s="1">
        <v>1</v>
      </c>
      <c r="L86" s="1">
        <v>1</v>
      </c>
    </row>
    <row r="87" spans="1:12" ht="43.2">
      <c r="A87" s="1">
        <v>1</v>
      </c>
      <c r="B87" s="1" t="str">
        <f>VLOOKUP(D87, 'code matching'!A:B, 2, FALSE)</f>
        <v>P13</v>
      </c>
      <c r="C87" s="1" t="s">
        <v>170</v>
      </c>
      <c r="D87" s="2" t="str">
        <f>VLOOKUP(C87, [3]Sheet1!$A:$B, 2, FALSE)</f>
        <v>Mass media messages concerning awareness on handwashing and health effects of household air pollution</v>
      </c>
      <c r="F87" s="1" t="s">
        <v>74</v>
      </c>
      <c r="G87" s="1" t="s">
        <v>171</v>
      </c>
      <c r="H87" s="1">
        <v>441.42857142857139</v>
      </c>
      <c r="I87" s="1">
        <v>0.2</v>
      </c>
      <c r="J87" s="1">
        <v>158342.6</v>
      </c>
      <c r="K87" s="1">
        <v>1</v>
      </c>
      <c r="L87" s="1">
        <v>1</v>
      </c>
    </row>
    <row r="88" spans="1:12" ht="43.2">
      <c r="A88" s="1">
        <v>1</v>
      </c>
      <c r="B88" s="1" t="str">
        <f>VLOOKUP(D88, 'code matching'!A:B, 2, FALSE)</f>
        <v>P4</v>
      </c>
      <c r="C88" s="1" t="s">
        <v>172</v>
      </c>
      <c r="D88" s="2" t="str">
        <f>VLOOKUP(C88, [3]Sheet1!$A:$B, 2, FALSE)</f>
        <v xml:space="preserve">Mass media encouraging use of condoms, voluntary medical male circumcision, and STI testing </v>
      </c>
      <c r="F88" s="1" t="s">
        <v>74</v>
      </c>
      <c r="G88" s="1" t="s">
        <v>173</v>
      </c>
      <c r="H88" s="1">
        <v>441.42857142857139</v>
      </c>
      <c r="I88" s="1">
        <v>0.2</v>
      </c>
      <c r="J88" s="1">
        <v>158342.6</v>
      </c>
      <c r="K88" s="1">
        <v>2</v>
      </c>
      <c r="L88" s="1">
        <v>1</v>
      </c>
    </row>
    <row r="89" spans="1:12" ht="28.8">
      <c r="A89" s="1">
        <v>1</v>
      </c>
      <c r="B89" s="1" t="str">
        <f>VLOOKUP(D89, 'code matching'!A:B, 2, FALSE)</f>
        <v>FLH5</v>
      </c>
      <c r="C89" s="1" t="s">
        <v>174</v>
      </c>
      <c r="D89" s="2" t="str">
        <f>VLOOKUP(C89, [3]Sheet1!$A:$B, 2, FALSE)</f>
        <v>Management of maternal sepsis, including early detection at health centers</v>
      </c>
      <c r="F89" s="1" t="s">
        <v>10</v>
      </c>
      <c r="G89" s="1" t="s">
        <v>175</v>
      </c>
      <c r="H89" s="1">
        <v>271.42857142857139</v>
      </c>
      <c r="I89" s="1">
        <v>67.2</v>
      </c>
      <c r="J89" s="1">
        <v>304901.09999999998</v>
      </c>
      <c r="K89" s="1">
        <v>4</v>
      </c>
      <c r="L89" s="1">
        <v>1</v>
      </c>
    </row>
    <row r="90" spans="1:12">
      <c r="A90" s="1">
        <v>1</v>
      </c>
      <c r="B90" s="1" t="str">
        <f>VLOOKUP(D90, 'code matching'!A:B, 2, FALSE)</f>
        <v>FLH23</v>
      </c>
      <c r="C90" s="1" t="s">
        <v>176</v>
      </c>
      <c r="D90" s="2" t="str">
        <f>VLOOKUP(C90, [3]Sheet1!$A:$B, 2, FALSE)</f>
        <v>Medical management of acute heart failure</v>
      </c>
      <c r="F90" s="1" t="s">
        <v>10</v>
      </c>
      <c r="G90" s="1" t="s">
        <v>177</v>
      </c>
      <c r="H90" s="1">
        <v>441.42857142857139</v>
      </c>
      <c r="I90" s="1">
        <v>648.20000000000005</v>
      </c>
      <c r="J90" s="1">
        <v>60431.3</v>
      </c>
      <c r="K90" s="1">
        <v>5</v>
      </c>
      <c r="L90" s="1">
        <v>3</v>
      </c>
    </row>
    <row r="91" spans="1:12" ht="43.2">
      <c r="A91" s="1">
        <v>1</v>
      </c>
      <c r="B91" s="1" t="str">
        <f>VLOOKUP(D91, 'code matching'!A:B, 2, FALSE)</f>
        <v>HC44</v>
      </c>
      <c r="C91" s="1" t="s">
        <v>178</v>
      </c>
      <c r="D91" s="2" t="str">
        <f>VLOOKUP(C91, [3]Sheet1!$A:$B, 2, FALSE)</f>
        <v xml:space="preserve">Medical management of heart failure with diuretics, beta-blockers, ACEi, and mineralocorticoid antagonists </v>
      </c>
      <c r="F91" s="1" t="s">
        <v>29</v>
      </c>
      <c r="G91" s="1" t="s">
        <v>179</v>
      </c>
      <c r="H91" s="1">
        <v>245.71428571428569</v>
      </c>
      <c r="I91" s="1">
        <v>244.4</v>
      </c>
      <c r="J91" s="1">
        <v>0</v>
      </c>
      <c r="K91" s="1">
        <v>4</v>
      </c>
      <c r="L91" s="1">
        <v>3</v>
      </c>
    </row>
    <row r="92" spans="1:12" ht="28.8">
      <c r="A92" s="1">
        <v>1</v>
      </c>
      <c r="B92" s="1" t="str">
        <f>VLOOKUP(D92, 'code matching'!A:B, 2, FALSE)</f>
        <v>HC2</v>
      </c>
      <c r="C92" s="1" t="s">
        <v>180</v>
      </c>
      <c r="D92" s="2" t="str">
        <f>VLOOKUP(C92, [3]Sheet1!$A:$B, 2, FALSE)</f>
        <v>Management of miscarriage or incomplete abortion and post abortion care</v>
      </c>
      <c r="F92" s="1" t="s">
        <v>29</v>
      </c>
      <c r="G92" s="1" t="s">
        <v>181</v>
      </c>
      <c r="H92" s="1">
        <v>441.42857142857139</v>
      </c>
      <c r="I92" s="1">
        <v>9.6</v>
      </c>
      <c r="J92" s="1">
        <v>705135</v>
      </c>
      <c r="K92" s="1">
        <v>4</v>
      </c>
      <c r="L92" s="1">
        <v>1</v>
      </c>
    </row>
    <row r="93" spans="1:12" ht="28.8">
      <c r="A93" s="1">
        <v>1</v>
      </c>
      <c r="B93" s="1" t="str">
        <f>VLOOKUP(D93, 'code matching'!A:B, 2, FALSE)</f>
        <v>FLH56</v>
      </c>
      <c r="C93" s="1" t="s">
        <v>182</v>
      </c>
      <c r="D93" s="2" t="str">
        <f>VLOOKUP(C93, [3]Sheet1!$A:$B, 2, FALSE)</f>
        <v>Mobilization activities following acute injury or illness</v>
      </c>
      <c r="F93" s="1" t="s">
        <v>10</v>
      </c>
      <c r="G93" s="1" t="s">
        <v>183</v>
      </c>
      <c r="H93" s="1">
        <v>441.42857142857139</v>
      </c>
      <c r="I93" s="1">
        <v>5.3</v>
      </c>
      <c r="J93" s="1">
        <v>0</v>
      </c>
      <c r="K93" s="1">
        <v>2</v>
      </c>
      <c r="L93" s="1">
        <v>1</v>
      </c>
    </row>
    <row r="94" spans="1:12">
      <c r="A94" s="1">
        <v>1</v>
      </c>
      <c r="B94" s="1" t="str">
        <f>VLOOKUP(D94, 'code matching'!A:B, 2, FALSE)</f>
        <v>HC60</v>
      </c>
      <c r="C94" s="1" t="s">
        <v>184</v>
      </c>
      <c r="D94" s="2" t="str">
        <f>VLOOKUP(C94, [3]Sheet1!$A:$B, 2, FALSE)</f>
        <v>Management of non-displaced fractures</v>
      </c>
      <c r="F94" s="1" t="s">
        <v>29</v>
      </c>
      <c r="G94" s="1" t="s">
        <v>185</v>
      </c>
      <c r="H94" s="1">
        <v>441.42857142857139</v>
      </c>
      <c r="I94" s="1">
        <v>16.100000000000001</v>
      </c>
      <c r="J94" s="1">
        <v>3065051.4</v>
      </c>
      <c r="K94" s="1">
        <v>4</v>
      </c>
      <c r="L94" s="1">
        <v>1</v>
      </c>
    </row>
    <row r="95" spans="1:12" ht="57.6">
      <c r="A95" s="1">
        <v>1</v>
      </c>
      <c r="B95" s="1" t="str">
        <f>VLOOKUP(D95, 'code matching'!A:B, 2, FALSE)</f>
        <v>HC45</v>
      </c>
      <c r="C95" s="1" t="s">
        <v>186</v>
      </c>
      <c r="D95" s="2" t="str">
        <f>VLOOKUP(C95, [3]Sheet1!$A:$B, 2, FALSE)</f>
        <v>Opportunistic screening for hypertension for all adults and initiation of treatment among individuals with severe hypertension and/or multiple risk factors</v>
      </c>
      <c r="F95" s="1" t="s">
        <v>29</v>
      </c>
      <c r="G95" s="1" t="s">
        <v>187</v>
      </c>
      <c r="H95" s="1">
        <v>6275.7142857142862</v>
      </c>
      <c r="I95" s="1">
        <v>1.5</v>
      </c>
      <c r="J95" s="1">
        <v>955102.5</v>
      </c>
      <c r="K95" s="1">
        <v>1</v>
      </c>
      <c r="L95" s="1">
        <v>1</v>
      </c>
    </row>
    <row r="96" spans="1:12" ht="28.8">
      <c r="A96" s="1">
        <v>1</v>
      </c>
      <c r="B96" s="1" t="str">
        <f>VLOOKUP(D96, 'code matching'!A:B, 2, FALSE)</f>
        <v>FLH40</v>
      </c>
      <c r="C96" s="1" t="s">
        <v>188</v>
      </c>
      <c r="D96" s="2" t="str">
        <f>VLOOKUP(C96, [3]Sheet1!$A:$B, 2, FALSE)</f>
        <v>Management of osteomyelitis, including surgical debridement for refractory cases</v>
      </c>
      <c r="F96" s="1" t="s">
        <v>10</v>
      </c>
      <c r="G96" s="1" t="s">
        <v>189</v>
      </c>
      <c r="H96" s="1">
        <v>629</v>
      </c>
      <c r="I96" s="1">
        <v>161.19999999999999</v>
      </c>
      <c r="J96" s="1">
        <v>654494.30000000005</v>
      </c>
      <c r="K96" s="1">
        <v>5</v>
      </c>
      <c r="L96" s="1">
        <v>2</v>
      </c>
    </row>
    <row r="97" spans="1:12" ht="43.2">
      <c r="A97" s="1">
        <v>1</v>
      </c>
      <c r="B97" s="1" t="str">
        <f>VLOOKUP(D97, 'code matching'!A:B, 2, FALSE)</f>
        <v>RH6</v>
      </c>
      <c r="C97" s="1" t="s">
        <v>190</v>
      </c>
      <c r="D97" s="2" t="str">
        <f>VLOOKUP(C97, [3]Sheet1!$A:$B, 2, FALSE)</f>
        <v>Use of percutaneous coronary intervention for acute myocardial infarction where resources permit</v>
      </c>
      <c r="F97" s="1" t="s">
        <v>20</v>
      </c>
      <c r="G97" s="1" t="s">
        <v>32</v>
      </c>
      <c r="H97" s="1">
        <v>757.14285714285722</v>
      </c>
      <c r="I97" s="1">
        <v>0</v>
      </c>
      <c r="J97" s="1">
        <v>60431.3</v>
      </c>
      <c r="K97" s="1">
        <v>5</v>
      </c>
      <c r="L97" s="1">
        <v>1</v>
      </c>
    </row>
    <row r="98" spans="1:12">
      <c r="A98" s="1">
        <v>1</v>
      </c>
      <c r="B98" s="1" t="str">
        <f>VLOOKUP(D98, 'code matching'!A:B, 2, FALSE)</f>
        <v>HC8</v>
      </c>
      <c r="C98" s="1" t="s">
        <v>191</v>
      </c>
      <c r="D98" s="2" t="str">
        <f>VLOOKUP(C98, [3]Sheet1!$A:$B, 2, FALSE)</f>
        <v>PMTCT of HIV (Option B+) and syphilis</v>
      </c>
      <c r="F98" s="1" t="s">
        <v>29</v>
      </c>
      <c r="G98" s="1" t="s">
        <v>192</v>
      </c>
      <c r="H98" s="1">
        <v>717.14285714285722</v>
      </c>
      <c r="I98" s="1">
        <v>254.6</v>
      </c>
      <c r="J98" s="1">
        <v>0</v>
      </c>
      <c r="K98" s="1">
        <v>5</v>
      </c>
      <c r="L98" s="1">
        <v>1</v>
      </c>
    </row>
    <row r="99" spans="1:12">
      <c r="A99" s="1">
        <v>1</v>
      </c>
      <c r="B99" s="1" t="str">
        <f>VLOOKUP(D99, 'code matching'!A:B, 2, FALSE)</f>
        <v>C11</v>
      </c>
      <c r="C99" s="1" t="s">
        <v>193</v>
      </c>
      <c r="D99" s="2" t="str">
        <f>VLOOKUP(C99, [3]Sheet1!$A:$B, 2, FALSE)</f>
        <v>Pneumococcus vaccination</v>
      </c>
      <c r="F99" s="1" t="s">
        <v>17</v>
      </c>
      <c r="G99" s="1" t="s">
        <v>194</v>
      </c>
      <c r="H99" s="1">
        <v>147.14285714285711</v>
      </c>
      <c r="I99" s="1">
        <v>10.5</v>
      </c>
      <c r="J99" s="1">
        <v>0</v>
      </c>
      <c r="K99" s="1">
        <v>2</v>
      </c>
      <c r="L99" s="1">
        <v>2</v>
      </c>
    </row>
    <row r="100" spans="1:12" ht="57.6">
      <c r="A100" s="1">
        <v>1</v>
      </c>
      <c r="B100" s="1" t="str">
        <f>VLOOKUP(D100, 'code matching'!A:B, 2, FALSE)</f>
        <v>HC16</v>
      </c>
      <c r="C100" s="1" t="s">
        <v>195</v>
      </c>
      <c r="D100" s="2" t="str">
        <f>VLOOKUP(C100, [3]Sheet1!$A:$B, 2, FALSE)</f>
        <v>Post gender-based violence care, including counseling, provision of emergency contraception, and rape-response referral (medical and judicial)</v>
      </c>
      <c r="F100" s="1" t="s">
        <v>29</v>
      </c>
      <c r="G100" s="1" t="s">
        <v>196</v>
      </c>
      <c r="H100" s="1">
        <v>4154.2857142857147</v>
      </c>
      <c r="I100" s="1">
        <v>2.9</v>
      </c>
      <c r="J100" s="1">
        <v>243741.8</v>
      </c>
      <c r="K100" s="1">
        <v>3</v>
      </c>
      <c r="L100" s="1">
        <v>1</v>
      </c>
    </row>
    <row r="101" spans="1:12" ht="72">
      <c r="A101" s="1">
        <v>1</v>
      </c>
      <c r="B101" s="1" t="str">
        <f>VLOOKUP(D101, 'code matching'!A:B, 2, FALSE)</f>
        <v>C36</v>
      </c>
      <c r="C101" s="1" t="s">
        <v>197</v>
      </c>
      <c r="D101" s="2" t="str">
        <f>VLOOKUP(C101, [3]Sheet1!$A:$B, 2, FALSE)</f>
        <v>In high malaria transmission settings where rapid tests and microscopy are unavailable, presumptive treatment of febrile illness with ACTs (non-severe cases) or ACTs plus antibiotics (severe cases)</v>
      </c>
      <c r="F101" s="1" t="s">
        <v>17</v>
      </c>
      <c r="G101" s="1" t="s">
        <v>55</v>
      </c>
      <c r="H101" s="1">
        <v>132.85714285714289</v>
      </c>
      <c r="I101" s="1">
        <v>2.4</v>
      </c>
      <c r="J101" s="1">
        <v>0</v>
      </c>
      <c r="K101" s="1">
        <v>3</v>
      </c>
      <c r="L101" s="1">
        <v>1</v>
      </c>
    </row>
    <row r="102" spans="1:12" ht="43.2">
      <c r="A102" s="1">
        <v>1</v>
      </c>
      <c r="B102" s="1" t="str">
        <f>VLOOKUP(D102, 'code matching'!A:B, 2, FALSE)</f>
        <v>FLH7</v>
      </c>
      <c r="C102" s="1" t="s">
        <v>198</v>
      </c>
      <c r="D102" s="2" t="str">
        <f>VLOOKUP(C102, [3]Sheet1!$A:$B, 2, FALSE)</f>
        <v>Management of preterm labor with corticosteroids, including early detection at health centers</v>
      </c>
      <c r="F102" s="1" t="s">
        <v>10</v>
      </c>
      <c r="G102" s="1" t="s">
        <v>108</v>
      </c>
      <c r="H102" s="1">
        <v>4768.5714285714284</v>
      </c>
      <c r="I102" s="1">
        <v>26.9</v>
      </c>
      <c r="J102" s="1">
        <v>295186</v>
      </c>
      <c r="K102" s="1">
        <v>4</v>
      </c>
      <c r="L102" s="1">
        <v>3</v>
      </c>
    </row>
    <row r="103" spans="1:12" ht="43.2">
      <c r="A103" s="1">
        <v>1</v>
      </c>
      <c r="B103" s="1" t="str">
        <f>VLOOKUP(D103, 'code matching'!A:B, 2, FALSE)</f>
        <v>HC3</v>
      </c>
      <c r="C103" s="1" t="s">
        <v>199</v>
      </c>
      <c r="D103" s="2" t="str">
        <f>VLOOKUP(C103, [3]Sheet1!$A:$B, 2, FALSE)</f>
        <v>Management of preterm premature rupture of membranes, including administration of antibotics</v>
      </c>
      <c r="F103" s="1" t="s">
        <v>29</v>
      </c>
      <c r="G103" s="1" t="s">
        <v>108</v>
      </c>
      <c r="H103" s="1">
        <v>2392.8571428571431</v>
      </c>
      <c r="I103" s="1">
        <v>3.2</v>
      </c>
      <c r="J103" s="1">
        <v>3955.1</v>
      </c>
      <c r="K103" s="1">
        <v>3</v>
      </c>
      <c r="L103" s="1">
        <v>2</v>
      </c>
    </row>
    <row r="104" spans="1:12" ht="57.6">
      <c r="A104" s="1">
        <v>1</v>
      </c>
      <c r="B104" s="1" t="str">
        <f>VLOOKUP(D104, 'code matching'!A:B, 2, FALSE)</f>
        <v>FLH57</v>
      </c>
      <c r="C104" s="1" t="s">
        <v>200</v>
      </c>
      <c r="D104" s="2" t="str">
        <f>VLOOKUP(C104, [3]Sheet1!$A:$B, 2, FALSE)</f>
        <v>Prevention and relief of refractory suffering and of acute pain related to surgery, serious injury, or other serious, complex or life-limiting health problems</v>
      </c>
      <c r="F104" s="1" t="s">
        <v>10</v>
      </c>
      <c r="G104" s="1" t="s">
        <v>15</v>
      </c>
      <c r="H104" s="1">
        <v>999999999</v>
      </c>
      <c r="I104" s="1">
        <v>64.400000000000006</v>
      </c>
      <c r="J104" s="1">
        <v>82144</v>
      </c>
      <c r="K104" s="1">
        <v>2</v>
      </c>
      <c r="L104" s="1">
        <v>2</v>
      </c>
    </row>
    <row r="105" spans="1:12" ht="43.2">
      <c r="A105" s="1">
        <v>1</v>
      </c>
      <c r="B105" s="1" t="str">
        <f>VLOOKUP(D105, 'code matching'!A:B, 2, FALSE)</f>
        <v>C38</v>
      </c>
      <c r="C105" s="1" t="s">
        <v>201</v>
      </c>
      <c r="D105" s="2" t="str">
        <f>VLOOKUP(C105, [3]Sheet1!$A:$B, 2, FALSE)</f>
        <v>In low malaria transmision settings, addition of single low-dose primaquine to first-line treatment</v>
      </c>
      <c r="F105" s="1" t="s">
        <v>17</v>
      </c>
      <c r="G105" s="1" t="s">
        <v>55</v>
      </c>
      <c r="H105" s="1">
        <v>24.07142857142858</v>
      </c>
      <c r="I105" s="1">
        <v>0</v>
      </c>
      <c r="J105" s="1">
        <v>0</v>
      </c>
      <c r="K105" s="1">
        <v>2</v>
      </c>
      <c r="L105" s="1">
        <v>1</v>
      </c>
    </row>
    <row r="106" spans="1:12" ht="43.2">
      <c r="A106" s="1">
        <v>1</v>
      </c>
      <c r="B106" s="1" t="str">
        <f>VLOOKUP(D106, 'code matching'!A:B, 2, FALSE)</f>
        <v>C4</v>
      </c>
      <c r="C106" s="1" t="s">
        <v>202</v>
      </c>
      <c r="D106" s="2" t="str">
        <f>VLOOKUP(C106, [3]Sheet1!$A:$B, 2, FALSE)</f>
        <v>Promotion of breastfeeding or complementary feeding by lay health workers</v>
      </c>
      <c r="F106" s="1" t="s">
        <v>17</v>
      </c>
      <c r="G106" s="1" t="s">
        <v>203</v>
      </c>
      <c r="H106" s="1">
        <v>1722.8571428571429</v>
      </c>
      <c r="I106" s="1">
        <v>0.1</v>
      </c>
      <c r="J106" s="1">
        <v>2640893.4</v>
      </c>
      <c r="K106" s="1">
        <v>1</v>
      </c>
      <c r="L106" s="1">
        <v>1</v>
      </c>
    </row>
    <row r="107" spans="1:12" ht="57.6">
      <c r="A107" s="1">
        <v>1</v>
      </c>
      <c r="B107" s="1" t="str">
        <f>VLOOKUP(D107, 'code matching'!A:B, 2, FALSE)</f>
        <v>C30</v>
      </c>
      <c r="C107" s="1" t="s">
        <v>204</v>
      </c>
      <c r="D107" s="2" t="str">
        <f>VLOOKUP(C107, [3]Sheet1!$A:$B, 2, FALSE)</f>
        <v>Provision of condoms to key populations, including sex workers, men who have sex with men, people who inject drugs, transgender populations, and prisoners</v>
      </c>
      <c r="F107" s="1" t="s">
        <v>17</v>
      </c>
      <c r="G107" s="1" t="s">
        <v>205</v>
      </c>
      <c r="H107" s="1">
        <v>428.57142857142861</v>
      </c>
      <c r="I107" s="1">
        <v>1.7</v>
      </c>
      <c r="J107" s="1">
        <v>22374.7</v>
      </c>
      <c r="K107" s="1">
        <v>2</v>
      </c>
      <c r="L107" s="1">
        <v>1</v>
      </c>
    </row>
    <row r="108" spans="1:12" ht="43.2">
      <c r="A108" s="1">
        <v>1</v>
      </c>
      <c r="B108" s="1" t="str">
        <f>VLOOKUP(D108, 'code matching'!A:B, 2, FALSE)</f>
        <v>HC32</v>
      </c>
      <c r="C108" s="1" t="s">
        <v>206</v>
      </c>
      <c r="D108" s="2" t="str">
        <f>VLOOKUP(C108, [3]Sheet1!$A:$B, 2, FALSE)</f>
        <v>Provision of insecticide-treated nets to children and pregnant women attending health centers</v>
      </c>
      <c r="F108" s="1" t="s">
        <v>29</v>
      </c>
      <c r="G108" s="1" t="s">
        <v>55</v>
      </c>
      <c r="H108" s="1">
        <v>38.571428571428577</v>
      </c>
      <c r="I108" s="1">
        <v>6.2</v>
      </c>
      <c r="J108" s="1">
        <v>0</v>
      </c>
      <c r="K108" s="1">
        <v>2</v>
      </c>
      <c r="L108" s="1">
        <v>1</v>
      </c>
    </row>
    <row r="109" spans="1:12" ht="28.8">
      <c r="A109" s="1">
        <v>1</v>
      </c>
      <c r="B109" s="1" t="str">
        <f>VLOOKUP(D109, 'code matching'!A:B, 2, FALSE)</f>
        <v>HC14</v>
      </c>
      <c r="C109" s="1" t="s">
        <v>207</v>
      </c>
      <c r="D109" s="2" t="str">
        <f>VLOOKUP(C109, [3]Sheet1!$A:$B, 2, FALSE)</f>
        <v>Psychological treatment for mood, anxiety, ADHD, and disruptive behavior disorders</v>
      </c>
      <c r="F109" s="1" t="s">
        <v>29</v>
      </c>
      <c r="G109" s="1" t="s">
        <v>208</v>
      </c>
      <c r="H109" s="1">
        <v>1305.714285714286</v>
      </c>
      <c r="I109" s="1">
        <v>35.4</v>
      </c>
      <c r="J109" s="1">
        <v>0</v>
      </c>
      <c r="K109" s="1">
        <v>2</v>
      </c>
      <c r="L109" s="1">
        <v>1</v>
      </c>
    </row>
    <row r="110" spans="1:12" ht="57.6">
      <c r="A110" s="1">
        <v>1</v>
      </c>
      <c r="B110" s="1" t="str">
        <f>VLOOKUP(D110, 'code matching'!A:B, 2, FALSE)</f>
        <v>HC66</v>
      </c>
      <c r="C110" s="1" t="s">
        <v>209</v>
      </c>
      <c r="D110" s="2" t="str">
        <f>VLOOKUP(C110, [3]Sheet1!$A:$B, 2, FALSE)</f>
        <v>Psychosocial support and counseling services for individuals with serious, complex, or life-limiting health problems and their caregivers</v>
      </c>
      <c r="F110" s="1" t="s">
        <v>29</v>
      </c>
      <c r="G110" s="1" t="s">
        <v>210</v>
      </c>
      <c r="H110" s="1">
        <v>441.42857142857139</v>
      </c>
      <c r="I110" s="1">
        <v>64.400000000000006</v>
      </c>
      <c r="J110" s="1">
        <v>0</v>
      </c>
      <c r="K110" s="1">
        <v>3</v>
      </c>
      <c r="L110" s="1">
        <v>2</v>
      </c>
    </row>
    <row r="111" spans="1:12" ht="43.2">
      <c r="A111" s="1">
        <v>1</v>
      </c>
      <c r="B111" s="1" t="str">
        <f>VLOOKUP(D111, 'code matching'!A:B, 2, FALSE)</f>
        <v>HC50</v>
      </c>
      <c r="C111" s="1" t="s">
        <v>211</v>
      </c>
      <c r="D111" s="2" t="str">
        <f>VLOOKUP(C111, [3]Sheet1!$A:$B, 2, FALSE)</f>
        <v>Management of depression and anxiety disorders with psycological and generic antidepressant therapy</v>
      </c>
      <c r="F111" s="1" t="s">
        <v>29</v>
      </c>
      <c r="G111" s="1" t="s">
        <v>212</v>
      </c>
      <c r="H111" s="1">
        <v>624.28571428571433</v>
      </c>
      <c r="I111" s="1">
        <v>13.4</v>
      </c>
      <c r="J111" s="1">
        <v>612274.30000000005</v>
      </c>
      <c r="K111" s="1">
        <v>3</v>
      </c>
      <c r="L111" s="1">
        <v>1</v>
      </c>
    </row>
    <row r="112" spans="1:12" ht="57.6">
      <c r="A112" s="1">
        <v>1</v>
      </c>
      <c r="B112" s="1" t="str">
        <f>VLOOKUP(D112, 'code matching'!A:B, 2, FALSE)</f>
        <v>FLH17</v>
      </c>
      <c r="C112" s="1" t="s">
        <v>213</v>
      </c>
      <c r="D112" s="2" t="str">
        <f>VLOOKUP(C112, [3]Sheet1!$A:$B, 2, FALSE)</f>
        <v>Referral of cases of treatment failure for drug susceptibility testing; enrollment of those with MDR-TB for treatment per WHO guidelines (either short or long regimen)</v>
      </c>
      <c r="F112" s="1" t="s">
        <v>10</v>
      </c>
      <c r="G112" s="1" t="s">
        <v>214</v>
      </c>
      <c r="H112" s="1">
        <v>441.42857142857139</v>
      </c>
      <c r="I112" s="1">
        <v>2836.9</v>
      </c>
      <c r="J112" s="1">
        <v>324816.09999999998</v>
      </c>
      <c r="K112" s="1">
        <v>4</v>
      </c>
      <c r="L112" s="1">
        <v>3</v>
      </c>
    </row>
    <row r="113" spans="1:12">
      <c r="A113" s="1">
        <v>1</v>
      </c>
      <c r="B113" s="1" t="str">
        <f>VLOOKUP(D113, 'code matching'!A:B, 2, FALSE)</f>
        <v>RH19</v>
      </c>
      <c r="C113" s="1" t="s">
        <v>215</v>
      </c>
      <c r="D113" s="2" t="str">
        <f>VLOOKUP(C113, [3]Sheet1!$A:$B, 2, FALSE)</f>
        <v>Referral-level hospital pathology services</v>
      </c>
      <c r="F113" s="1" t="s">
        <v>20</v>
      </c>
      <c r="G113" s="1" t="s">
        <v>15</v>
      </c>
      <c r="H113" s="1">
        <v>999999999</v>
      </c>
      <c r="I113" s="1">
        <v>0</v>
      </c>
      <c r="J113" s="1">
        <v>0</v>
      </c>
      <c r="K113" s="1">
        <v>1</v>
      </c>
      <c r="L113" s="1">
        <v>3</v>
      </c>
    </row>
    <row r="114" spans="1:12" ht="43.2">
      <c r="A114" s="1">
        <v>1</v>
      </c>
      <c r="B114" s="1" t="str">
        <f>VLOOKUP(D114, 'code matching'!A:B, 2, FALSE)</f>
        <v>RH3</v>
      </c>
      <c r="C114" s="1" t="s">
        <v>216</v>
      </c>
      <c r="D114" s="2" t="str">
        <f>VLOOKUP(C114, [3]Sheet1!$A:$B, 2, FALSE)</f>
        <v>Management of refractory febrile illness including etiologic diagnosis at reference microbiological laboratory</v>
      </c>
      <c r="F114" s="1" t="s">
        <v>20</v>
      </c>
      <c r="G114" s="1" t="s">
        <v>55</v>
      </c>
      <c r="H114" s="1">
        <v>441.42857142857139</v>
      </c>
      <c r="I114" s="1">
        <v>0</v>
      </c>
      <c r="J114" s="1">
        <v>0</v>
      </c>
      <c r="K114" s="1">
        <v>3</v>
      </c>
      <c r="L114" s="1">
        <v>2</v>
      </c>
    </row>
    <row r="115" spans="1:12" ht="28.8">
      <c r="A115" s="1">
        <v>1</v>
      </c>
      <c r="B115" s="1" t="str">
        <f>VLOOKUP(D115, 'code matching'!A:B, 2, FALSE)</f>
        <v>FLH42</v>
      </c>
      <c r="C115" s="1" t="s">
        <v>217</v>
      </c>
      <c r="D115" s="2" t="str">
        <f>VLOOKUP(C115, [3]Sheet1!$A:$B, 2, FALSE)</f>
        <v>Relief of urinary obstruction by catheterization or suprapubic cystostomy</v>
      </c>
      <c r="F115" s="1" t="s">
        <v>10</v>
      </c>
      <c r="G115" s="1" t="s">
        <v>218</v>
      </c>
      <c r="H115" s="1">
        <v>232.74285714285719</v>
      </c>
      <c r="I115" s="1">
        <v>161.19999999999999</v>
      </c>
      <c r="J115" s="1">
        <v>428262.3</v>
      </c>
      <c r="K115" s="1">
        <v>4</v>
      </c>
      <c r="L115" s="1">
        <v>1</v>
      </c>
    </row>
    <row r="116" spans="1:12" ht="28.8">
      <c r="A116" s="1">
        <v>1</v>
      </c>
      <c r="B116" s="1" t="str">
        <f>VLOOKUP(D116, 'code matching'!A:B, 2, FALSE)</f>
        <v>FLH43</v>
      </c>
      <c r="C116" s="1" t="s">
        <v>219</v>
      </c>
      <c r="D116" s="2" t="str">
        <f>VLOOKUP(C116, [3]Sheet1!$A:$B, 2, FALSE)</f>
        <v>Removal of gallbladder including  emergency surgery</v>
      </c>
      <c r="F116" s="1" t="s">
        <v>10</v>
      </c>
      <c r="G116" s="1" t="s">
        <v>220</v>
      </c>
      <c r="H116" s="1">
        <v>232.74285714285719</v>
      </c>
      <c r="I116" s="1">
        <v>93.4</v>
      </c>
      <c r="J116" s="1">
        <v>124237.2</v>
      </c>
      <c r="K116" s="1">
        <v>4</v>
      </c>
      <c r="L116" s="1">
        <v>1</v>
      </c>
    </row>
    <row r="117" spans="1:12" ht="28.8">
      <c r="A117" s="1">
        <v>1</v>
      </c>
      <c r="B117" s="1" t="str">
        <f>VLOOKUP(D117, 'code matching'!A:B, 2, FALSE)</f>
        <v>RH15</v>
      </c>
      <c r="C117" s="1" t="s">
        <v>221</v>
      </c>
      <c r="D117" s="2" t="str">
        <f>VLOOKUP(C117, [3]Sheet1!$A:$B, 2, FALSE)</f>
        <v>Repair of anorectal malformations and Hirschsprung's Disease</v>
      </c>
      <c r="F117" s="1" t="s">
        <v>20</v>
      </c>
      <c r="G117" s="1" t="s">
        <v>222</v>
      </c>
      <c r="H117" s="1">
        <v>441.42857142857139</v>
      </c>
      <c r="I117" s="1">
        <v>200</v>
      </c>
      <c r="J117" s="1">
        <v>0</v>
      </c>
      <c r="K117" s="1">
        <v>4</v>
      </c>
      <c r="L117" s="1">
        <v>3</v>
      </c>
    </row>
    <row r="118" spans="1:12">
      <c r="A118" s="1">
        <v>1</v>
      </c>
      <c r="B118" s="1" t="str">
        <f>VLOOKUP(D118, 'code matching'!A:B, 2, FALSE)</f>
        <v>RH12</v>
      </c>
      <c r="C118" s="1" t="s">
        <v>223</v>
      </c>
      <c r="D118" s="2" t="str">
        <f>VLOOKUP(C118, [3]Sheet1!$A:$B, 2, FALSE)</f>
        <v>Repair of cleft lip and cleft palate</v>
      </c>
      <c r="F118" s="1" t="s">
        <v>20</v>
      </c>
      <c r="G118" s="1" t="s">
        <v>224</v>
      </c>
      <c r="H118" s="1">
        <v>154.28571428571431</v>
      </c>
      <c r="I118" s="1">
        <v>200</v>
      </c>
      <c r="J118" s="1">
        <v>0</v>
      </c>
      <c r="K118" s="1">
        <v>4</v>
      </c>
      <c r="L118" s="1">
        <v>1</v>
      </c>
    </row>
    <row r="119" spans="1:12">
      <c r="A119" s="1">
        <v>1</v>
      </c>
      <c r="B119" s="1" t="str">
        <f>VLOOKUP(D119, 'code matching'!A:B, 2, FALSE)</f>
        <v>RH13</v>
      </c>
      <c r="C119" s="1" t="s">
        <v>225</v>
      </c>
      <c r="D119" s="2" t="str">
        <f>VLOOKUP(C119, [3]Sheet1!$A:$B, 2, FALSE)</f>
        <v>Repair of club foot</v>
      </c>
      <c r="F119" s="1" t="s">
        <v>20</v>
      </c>
      <c r="G119" s="1" t="s">
        <v>226</v>
      </c>
      <c r="H119" s="1">
        <v>441.42857142857139</v>
      </c>
      <c r="I119" s="1">
        <v>200</v>
      </c>
      <c r="J119" s="1">
        <v>0</v>
      </c>
      <c r="K119" s="1">
        <v>4</v>
      </c>
      <c r="L119" s="1">
        <v>3</v>
      </c>
    </row>
    <row r="120" spans="1:12">
      <c r="A120" s="1">
        <v>1</v>
      </c>
      <c r="B120" s="1" t="str">
        <f>VLOOKUP(D120, 'code matching'!A:B, 2, FALSE)</f>
        <v>RH16</v>
      </c>
      <c r="C120" s="1" t="s">
        <v>227</v>
      </c>
      <c r="D120" s="2" t="str">
        <f>VLOOKUP(C120, [3]Sheet1!$A:$B, 2, FALSE)</f>
        <v>Repair of obstetric fistula</v>
      </c>
      <c r="F120" s="1" t="s">
        <v>20</v>
      </c>
      <c r="G120" s="1" t="s">
        <v>228</v>
      </c>
      <c r="H120" s="1">
        <v>441.42857142857139</v>
      </c>
      <c r="I120" s="1">
        <v>200</v>
      </c>
      <c r="J120" s="1">
        <v>0</v>
      </c>
      <c r="K120" s="1">
        <v>5</v>
      </c>
      <c r="L120" s="1">
        <v>1</v>
      </c>
    </row>
    <row r="121" spans="1:12" ht="43.2">
      <c r="A121" s="1">
        <v>1</v>
      </c>
      <c r="B121" s="1" t="str">
        <f>VLOOKUP(D121, 'code matching'!A:B, 2, FALSE)</f>
        <v>FLH44</v>
      </c>
      <c r="C121" s="1" t="s">
        <v>229</v>
      </c>
      <c r="D121" s="2" t="str">
        <f>VLOOKUP(C121, [3]Sheet1!$A:$B, 2, FALSE)</f>
        <v>Repair of perforations (for example, perforated peptic ulcer, typhoid ileal perforation)</v>
      </c>
      <c r="F121" s="1" t="s">
        <v>10</v>
      </c>
      <c r="G121" s="1" t="s">
        <v>230</v>
      </c>
      <c r="H121" s="1">
        <v>232.74285714285719</v>
      </c>
      <c r="I121" s="1">
        <v>161.19999999999999</v>
      </c>
      <c r="J121" s="1">
        <v>263368.59999999998</v>
      </c>
      <c r="K121" s="1">
        <v>4</v>
      </c>
      <c r="L121" s="1">
        <v>1</v>
      </c>
    </row>
    <row r="122" spans="1:12" ht="28.8">
      <c r="A122" s="1">
        <v>1</v>
      </c>
      <c r="B122" s="1" t="str">
        <f>VLOOKUP(D122, 'code matching'!A:B, 2, FALSE)</f>
        <v>FLH45</v>
      </c>
      <c r="C122" s="1" t="s">
        <v>231</v>
      </c>
      <c r="D122" s="2" t="str">
        <f>VLOOKUP(C122, [3]Sheet1!$A:$B, 2, FALSE)</f>
        <v>Resuscitation with advanced life support measures, including surgical airway</v>
      </c>
      <c r="F122" s="1" t="s">
        <v>10</v>
      </c>
      <c r="G122" s="1" t="s">
        <v>183</v>
      </c>
      <c r="H122" s="1">
        <v>441.42857142857139</v>
      </c>
      <c r="I122" s="1">
        <v>161.19999999999999</v>
      </c>
      <c r="J122" s="1">
        <v>0</v>
      </c>
      <c r="K122" s="1">
        <v>5</v>
      </c>
      <c r="L122" s="1">
        <v>2</v>
      </c>
    </row>
    <row r="123" spans="1:12" ht="43.2">
      <c r="A123" s="1">
        <v>1</v>
      </c>
      <c r="B123" s="1" t="str">
        <f>VLOOKUP(D123, 'code matching'!A:B, 2, FALSE)</f>
        <v>RH5</v>
      </c>
      <c r="C123" s="1" t="s">
        <v>232</v>
      </c>
      <c r="D123" s="2" t="str">
        <f>VLOOKUP(C123, [3]Sheet1!$A:$B, 2, FALSE)</f>
        <v>Retinopathy screening via telemedicine, followed by treatment using laser photocoagulation</v>
      </c>
      <c r="F123" s="1" t="s">
        <v>20</v>
      </c>
      <c r="G123" s="1" t="s">
        <v>15</v>
      </c>
      <c r="H123" s="1">
        <v>2292.8571428571431</v>
      </c>
      <c r="I123" s="1">
        <v>12.5</v>
      </c>
      <c r="J123" s="1">
        <v>0</v>
      </c>
      <c r="K123" s="1">
        <v>1</v>
      </c>
      <c r="L123" s="1">
        <v>1</v>
      </c>
    </row>
    <row r="124" spans="1:12" ht="28.8">
      <c r="A124" s="1">
        <v>1</v>
      </c>
      <c r="B124" s="1" t="str">
        <f>VLOOKUP(D124, 'code matching'!A:B, 2, FALSE)</f>
        <v>HC65</v>
      </c>
      <c r="C124" s="1" t="s">
        <v>233</v>
      </c>
      <c r="D124" s="2" t="str">
        <f>VLOOKUP(C124, [3]Sheet1!$A:$B, 2, FALSE)</f>
        <v>Review of prosthetics, orthotics, and splints, with referral to hospital if indicated</v>
      </c>
      <c r="F124" s="1" t="s">
        <v>29</v>
      </c>
      <c r="G124" s="1" t="s">
        <v>234</v>
      </c>
      <c r="H124" s="1">
        <v>441.42857142857139</v>
      </c>
      <c r="I124" s="1">
        <v>5.3</v>
      </c>
      <c r="J124" s="1">
        <v>430481.6</v>
      </c>
      <c r="K124" s="1">
        <v>1</v>
      </c>
      <c r="L124" s="1">
        <v>1</v>
      </c>
    </row>
    <row r="125" spans="1:12">
      <c r="A125" s="1">
        <v>1</v>
      </c>
      <c r="B125" s="1" t="str">
        <f>VLOOKUP(D125, 'code matching'!A:B, 2, FALSE)</f>
        <v>C12</v>
      </c>
      <c r="C125" s="1" t="s">
        <v>235</v>
      </c>
      <c r="D125" s="2" t="str">
        <f>VLOOKUP(C125, [3]Sheet1!$A:$B, 2, FALSE)</f>
        <v>Rotavirus vaccination</v>
      </c>
      <c r="F125" s="1" t="s">
        <v>17</v>
      </c>
      <c r="G125" s="1" t="s">
        <v>236</v>
      </c>
      <c r="H125" s="1">
        <v>441.42857142857139</v>
      </c>
      <c r="I125" s="1">
        <v>10.5</v>
      </c>
      <c r="J125" s="1">
        <v>0</v>
      </c>
      <c r="K125" s="1">
        <v>2</v>
      </c>
      <c r="L125" s="1">
        <v>2</v>
      </c>
    </row>
    <row r="126" spans="1:12" ht="43.2">
      <c r="A126" s="1">
        <v>1</v>
      </c>
      <c r="B126" s="1" t="str">
        <f>VLOOKUP(D126, 'code matching'!A:B, 2, FALSE)</f>
        <v>HC52</v>
      </c>
      <c r="C126" s="1" t="s">
        <v>237</v>
      </c>
      <c r="D126" s="2" t="str">
        <f>VLOOKUP(C126, [3]Sheet1!$A:$B, 2, FALSE)</f>
        <v>Management of schizophrenia using generic anti-psychotic medications and psychosocial treatment</v>
      </c>
      <c r="F126" s="1" t="s">
        <v>29</v>
      </c>
      <c r="G126" s="1" t="s">
        <v>238</v>
      </c>
      <c r="H126" s="1">
        <v>2141.428571428572</v>
      </c>
      <c r="I126" s="1">
        <v>82.6</v>
      </c>
      <c r="J126" s="1">
        <v>612274.30000000005</v>
      </c>
      <c r="K126" s="1">
        <v>4</v>
      </c>
      <c r="L126" s="1">
        <v>2</v>
      </c>
    </row>
    <row r="127" spans="1:12" ht="43.2">
      <c r="A127" s="1">
        <v>1</v>
      </c>
      <c r="B127" s="1" t="str">
        <f>VLOOKUP(D127, 'code matching'!A:B, 2, FALSE)</f>
        <v>HC41</v>
      </c>
      <c r="C127" s="1" t="s">
        <v>239</v>
      </c>
      <c r="D127" s="2" t="str">
        <f>VLOOKUP(C127, [3]Sheet1!$A:$B, 2, FALSE)</f>
        <v xml:space="preserve">Secondary prophylaxis with penicillin for rheumatic fever or established rheumatic heart disease </v>
      </c>
      <c r="F127" s="1" t="s">
        <v>29</v>
      </c>
      <c r="G127" s="1" t="s">
        <v>240</v>
      </c>
      <c r="H127" s="1">
        <v>441.42857142857139</v>
      </c>
      <c r="I127" s="1">
        <v>0.1</v>
      </c>
      <c r="J127" s="1">
        <v>11594.4</v>
      </c>
      <c r="K127" s="1">
        <v>1</v>
      </c>
      <c r="L127" s="1">
        <v>1</v>
      </c>
    </row>
    <row r="128" spans="1:12" ht="28.8">
      <c r="A128" s="1">
        <v>1</v>
      </c>
      <c r="B128" s="1" t="str">
        <f>VLOOKUP(D128, 'code matching'!A:B, 2, FALSE)</f>
        <v>C54</v>
      </c>
      <c r="C128" s="1" t="s">
        <v>241</v>
      </c>
      <c r="D128" s="2" t="str">
        <f>VLOOKUP(C128, [3]Sheet1!$A:$B, 2, FALSE)</f>
        <v>Functional interventions for self-care for individuals with disabilities</v>
      </c>
      <c r="F128" s="1" t="s">
        <v>17</v>
      </c>
      <c r="G128" s="1" t="s">
        <v>242</v>
      </c>
      <c r="H128" s="1">
        <v>24.285714285714288</v>
      </c>
      <c r="I128" s="1">
        <v>5.3</v>
      </c>
      <c r="J128" s="1">
        <v>0</v>
      </c>
      <c r="K128" s="1">
        <v>1</v>
      </c>
      <c r="L128" s="1">
        <v>1</v>
      </c>
    </row>
    <row r="129" spans="1:12">
      <c r="A129" s="1">
        <v>1</v>
      </c>
      <c r="B129" s="1" t="str">
        <f>VLOOKUP(D129, 'code matching'!A:B, 2, FALSE)</f>
        <v>FLH41</v>
      </c>
      <c r="C129" s="1" t="s">
        <v>243</v>
      </c>
      <c r="D129" s="2" t="str">
        <f>VLOOKUP(C129, [3]Sheet1!$A:$B, 2, FALSE)</f>
        <v>Management of septic arthritis</v>
      </c>
      <c r="F129" s="1" t="s">
        <v>10</v>
      </c>
      <c r="G129" s="1" t="s">
        <v>244</v>
      </c>
      <c r="H129" s="1">
        <v>629</v>
      </c>
      <c r="I129" s="1">
        <v>161.19999999999999</v>
      </c>
      <c r="J129" s="1">
        <v>647425.80000000005</v>
      </c>
      <c r="K129" s="1">
        <v>5</v>
      </c>
      <c r="L129" s="1">
        <v>2</v>
      </c>
    </row>
    <row r="130" spans="1:12" ht="28.8">
      <c r="A130" s="1">
        <v>1</v>
      </c>
      <c r="B130" s="1" t="str">
        <f>VLOOKUP(D130, 'code matching'!A:B, 2, FALSE)</f>
        <v>FLH12</v>
      </c>
      <c r="C130" s="1" t="s">
        <v>245</v>
      </c>
      <c r="D130" s="2" t="str">
        <f>VLOOKUP(C130, [3]Sheet1!$A:$B, 2, FALSE)</f>
        <v>Management of severe acute malnutrition associated with serious infection</v>
      </c>
      <c r="F130" s="1" t="s">
        <v>10</v>
      </c>
      <c r="G130" s="1" t="s">
        <v>246</v>
      </c>
      <c r="H130" s="1">
        <v>37.142857142857153</v>
      </c>
      <c r="I130" s="1">
        <v>0</v>
      </c>
      <c r="J130" s="1">
        <v>120659.9</v>
      </c>
      <c r="K130" s="1">
        <v>3</v>
      </c>
      <c r="L130" s="1">
        <v>1</v>
      </c>
    </row>
    <row r="131" spans="1:12" ht="72">
      <c r="A131" s="1">
        <v>1</v>
      </c>
      <c r="B131" s="1" t="str">
        <f>VLOOKUP(D131, 'code matching'!A:B, 2, FALSE)</f>
        <v>FLH19</v>
      </c>
      <c r="C131" s="1" t="s">
        <v>247</v>
      </c>
      <c r="D131" s="2" t="str">
        <f>VLOOKUP(C131, [3]Sheet1!$A:$B, 2, FALSE)</f>
        <v>Management of severe malaria, including early detection and provision of rectal artesunate in community settings followed by parenteral artesunate and full-course of ACT</v>
      </c>
      <c r="F131" s="1" t="s">
        <v>10</v>
      </c>
      <c r="G131" s="1" t="s">
        <v>248</v>
      </c>
      <c r="H131" s="1">
        <v>441.42857142857139</v>
      </c>
      <c r="I131" s="1">
        <v>31.9</v>
      </c>
      <c r="J131" s="1">
        <v>327420</v>
      </c>
      <c r="K131" s="1">
        <v>4</v>
      </c>
      <c r="L131" s="1">
        <v>1</v>
      </c>
    </row>
    <row r="132" spans="1:12" ht="57.6">
      <c r="A132" s="1">
        <v>1</v>
      </c>
      <c r="B132" s="1" t="str">
        <f>VLOOKUP(D132, 'code matching'!A:B, 2, FALSE)</f>
        <v>P8</v>
      </c>
      <c r="C132" s="1" t="s">
        <v>249</v>
      </c>
      <c r="D132" s="2" t="str">
        <f>VLOOKUP(C132, [3]Sheet1!$A:$B, 2, FALSE)</f>
        <v>Conduct simulation exercises and health worker training for outbreak events including outbreak investigation, contact tracing and emergency response</v>
      </c>
      <c r="F132" s="1" t="s">
        <v>74</v>
      </c>
      <c r="G132" s="1" t="s">
        <v>15</v>
      </c>
      <c r="H132" s="1">
        <v>999999999</v>
      </c>
      <c r="I132" s="1">
        <v>0.1</v>
      </c>
      <c r="J132" s="1">
        <v>0</v>
      </c>
      <c r="K132" s="1">
        <v>1</v>
      </c>
      <c r="L132" s="1">
        <v>3</v>
      </c>
    </row>
    <row r="133" spans="1:12" ht="43.2">
      <c r="A133" s="1">
        <v>1</v>
      </c>
      <c r="B133" s="1" t="str">
        <f>VLOOKUP(D133, 'code matching'!A:B, 2, FALSE)</f>
        <v>RH2</v>
      </c>
      <c r="C133" s="1" t="s">
        <v>250</v>
      </c>
      <c r="D133" s="2" t="str">
        <f>VLOOKUP(C133, [3]Sheet1!$A:$B, 2, FALSE)</f>
        <v>Specialized TB services, including management of MDR- and XDR-TB treatment failure and surgery for TB</v>
      </c>
      <c r="F133" s="1" t="s">
        <v>20</v>
      </c>
      <c r="G133" s="1" t="s">
        <v>251</v>
      </c>
      <c r="H133" s="1">
        <v>441.42857142857139</v>
      </c>
      <c r="I133" s="1">
        <v>1864.3</v>
      </c>
      <c r="J133" s="1">
        <v>0</v>
      </c>
      <c r="K133" s="1">
        <v>4</v>
      </c>
      <c r="L133" s="1">
        <v>3</v>
      </c>
    </row>
    <row r="134" spans="1:12">
      <c r="A134" s="1">
        <v>1</v>
      </c>
      <c r="B134" s="1" t="str">
        <f>VLOOKUP(D134, 'code matching'!A:B, 2, FALSE)</f>
        <v>RH20</v>
      </c>
      <c r="C134" s="1" t="s">
        <v>252</v>
      </c>
      <c r="D134" s="2" t="str">
        <f>VLOOKUP(C134, [3]Sheet1!$A:$B, 2, FALSE)</f>
        <v>Specialty pathology services</v>
      </c>
      <c r="F134" s="1" t="s">
        <v>20</v>
      </c>
      <c r="G134" s="1" t="s">
        <v>15</v>
      </c>
      <c r="H134" s="1">
        <v>999999999</v>
      </c>
      <c r="I134" s="1">
        <v>0</v>
      </c>
      <c r="J134" s="1">
        <v>0</v>
      </c>
      <c r="K134" s="1">
        <v>1</v>
      </c>
      <c r="L134" s="1">
        <v>3</v>
      </c>
    </row>
    <row r="135" spans="1:12" ht="57.6">
      <c r="A135" s="1">
        <v>1</v>
      </c>
      <c r="B135" s="1" t="str">
        <f>VLOOKUP(D135, 'code matching'!A:B, 2, FALSE)</f>
        <v>P10</v>
      </c>
      <c r="C135" s="1" t="s">
        <v>253</v>
      </c>
      <c r="D135" s="2" t="str">
        <f>VLOOKUP(C135, [3]Sheet1!$A:$B, 2, FALSE)</f>
        <v xml:space="preserve">Develop and implement a plan to ensure surge capacity in hospital beds, stockpiles of disinfectants, equipment for supportive care, and personal protective equipment </v>
      </c>
      <c r="F135" s="1" t="s">
        <v>74</v>
      </c>
      <c r="G135" s="1" t="s">
        <v>15</v>
      </c>
      <c r="H135" s="1">
        <v>999999999</v>
      </c>
      <c r="I135" s="1">
        <v>0.1</v>
      </c>
      <c r="J135" s="1">
        <v>0</v>
      </c>
      <c r="K135" s="1">
        <v>1</v>
      </c>
      <c r="L135" s="1">
        <v>1</v>
      </c>
    </row>
    <row r="136" spans="1:12">
      <c r="A136" s="1">
        <v>1</v>
      </c>
      <c r="B136" s="1" t="str">
        <f>VLOOKUP(D136, 'code matching'!A:B, 2, FALSE)</f>
        <v>FLH9</v>
      </c>
      <c r="C136" s="1" t="s">
        <v>254</v>
      </c>
      <c r="D136" s="2" t="str">
        <f>VLOOKUP(C136, [3]Sheet1!$A:$B, 2, FALSE)</f>
        <v>Surgery for ectopic pregnancy</v>
      </c>
      <c r="F136" s="1" t="s">
        <v>10</v>
      </c>
      <c r="G136" s="1" t="s">
        <v>255</v>
      </c>
      <c r="H136" s="1">
        <v>460.00000000000011</v>
      </c>
      <c r="I136" s="1">
        <v>161.19999999999999</v>
      </c>
      <c r="J136" s="1">
        <v>109136.4</v>
      </c>
      <c r="K136" s="1">
        <v>6</v>
      </c>
      <c r="L136" s="1">
        <v>1</v>
      </c>
    </row>
    <row r="137" spans="1:12">
      <c r="A137" s="1">
        <v>1</v>
      </c>
      <c r="B137" s="1" t="str">
        <f>VLOOKUP(D137, 'code matching'!A:B, 2, FALSE)</f>
        <v>RH18</v>
      </c>
      <c r="C137" s="1" t="s">
        <v>256</v>
      </c>
      <c r="D137" s="2" t="str">
        <f>VLOOKUP(C137, [3]Sheet1!$A:$B, 2, FALSE)</f>
        <v>Surgery for trachomatous trichiasis</v>
      </c>
      <c r="F137" s="1" t="s">
        <v>20</v>
      </c>
      <c r="G137" s="1" t="s">
        <v>257</v>
      </c>
      <c r="H137" s="1">
        <v>118.5714285714286</v>
      </c>
      <c r="I137" s="1">
        <v>200</v>
      </c>
      <c r="J137" s="1">
        <v>0</v>
      </c>
      <c r="K137" s="1">
        <v>3</v>
      </c>
      <c r="L137" s="1">
        <v>1</v>
      </c>
    </row>
    <row r="138" spans="1:12" ht="43.2">
      <c r="A138" s="1">
        <v>1</v>
      </c>
      <c r="B138" s="1" t="str">
        <f>VLOOKUP(D138, 'code matching'!A:B, 2, FALSE)</f>
        <v>FLH10</v>
      </c>
      <c r="C138" s="1" t="s">
        <v>258</v>
      </c>
      <c r="D138" s="2" t="str">
        <f>VLOOKUP(C138, [3]Sheet1!$A:$B, 2, FALSE)</f>
        <v xml:space="preserve">Surgical termination of pregnancy by manual vacuum aspiration and dilation and curettage </v>
      </c>
      <c r="F138" s="1" t="s">
        <v>10</v>
      </c>
      <c r="G138" s="1" t="s">
        <v>259</v>
      </c>
      <c r="H138" s="1">
        <v>441.42857142857139</v>
      </c>
      <c r="I138" s="1">
        <v>161.19999999999999</v>
      </c>
      <c r="J138" s="1">
        <v>9370</v>
      </c>
      <c r="K138" s="1">
        <v>3</v>
      </c>
      <c r="L138" s="1">
        <v>1</v>
      </c>
    </row>
    <row r="139" spans="1:12">
      <c r="A139" s="1">
        <v>1</v>
      </c>
      <c r="B139" s="1" t="str">
        <f>VLOOKUP(D139, 'code matching'!A:B, 2, FALSE)</f>
        <v>HC62</v>
      </c>
      <c r="C139" s="1" t="s">
        <v>260</v>
      </c>
      <c r="D139" s="2" t="str">
        <f>VLOOKUP(C139, [3]Sheet1!$A:$B, 2, FALSE)</f>
        <v>Suturing laceration</v>
      </c>
      <c r="F139" s="1" t="s">
        <v>29</v>
      </c>
      <c r="G139" s="1" t="s">
        <v>261</v>
      </c>
      <c r="H139" s="1">
        <v>441.42857142857139</v>
      </c>
      <c r="I139" s="1">
        <v>16.100000000000001</v>
      </c>
      <c r="J139" s="1">
        <v>558546.69999999995</v>
      </c>
      <c r="K139" s="1">
        <v>4</v>
      </c>
      <c r="L139" s="1">
        <v>1</v>
      </c>
    </row>
    <row r="140" spans="1:12" ht="43.2">
      <c r="A140" s="1">
        <v>1</v>
      </c>
      <c r="B140" s="1" t="str">
        <f>VLOOKUP(D140, 'code matching'!A:B, 2, FALSE)</f>
        <v>P5</v>
      </c>
      <c r="C140" s="1" t="s">
        <v>262</v>
      </c>
      <c r="D140" s="2" t="str">
        <f>VLOOKUP(C140, [3]Sheet1!$A:$B, 2, FALSE)</f>
        <v>Systematic identification of individuals with TB symptoms among high-risk groups and linkage to care (“active case finding”)</v>
      </c>
      <c r="F140" s="1" t="s">
        <v>74</v>
      </c>
      <c r="G140" s="1" t="s">
        <v>263</v>
      </c>
      <c r="H140" s="1">
        <v>471.42857142857139</v>
      </c>
      <c r="I140" s="1">
        <v>273</v>
      </c>
      <c r="J140" s="1">
        <v>0</v>
      </c>
      <c r="K140" s="1">
        <v>4</v>
      </c>
      <c r="L140" s="1">
        <v>3</v>
      </c>
    </row>
    <row r="141" spans="1:12" ht="43.2">
      <c r="A141" s="1">
        <v>1</v>
      </c>
      <c r="B141" s="1" t="str">
        <f>VLOOKUP(D141, 'code matching'!A:B, 2, FALSE)</f>
        <v>C32</v>
      </c>
      <c r="C141" s="1" t="s">
        <v>264</v>
      </c>
      <c r="D141" s="2" t="str">
        <f>VLOOKUP(C141, [3]Sheet1!$A:$B, 2, FALSE)</f>
        <v>Routine contact tracing to identify individuals exposed to TB and link them to care</v>
      </c>
      <c r="F141" s="1" t="s">
        <v>17</v>
      </c>
      <c r="G141" s="1" t="s">
        <v>265</v>
      </c>
      <c r="H141" s="1">
        <v>3078.5714285714289</v>
      </c>
      <c r="I141" s="1">
        <v>2.2000000000000002</v>
      </c>
      <c r="J141" s="1">
        <v>173439.5</v>
      </c>
      <c r="K141" s="1">
        <v>1</v>
      </c>
      <c r="L141" s="1">
        <v>3</v>
      </c>
    </row>
    <row r="142" spans="1:12" ht="100.8">
      <c r="A142" s="1">
        <v>1</v>
      </c>
      <c r="B142" s="1" t="s">
        <v>696</v>
      </c>
      <c r="C142" s="1" t="s">
        <v>266</v>
      </c>
      <c r="D142" s="2" t="str">
        <f>VLOOKUP(C142, [3]Sheet1!$A:$B, 2, FALSE)</f>
        <v>Provider-initiated testing and counseling for HIV, STIs, and hepatitis, for all in contact with health system in high-prevalence settings, including prenatal care with appropriate referral or linkage to care including immediate ART initiation for those testing positive for HIV</v>
      </c>
      <c r="F142" s="1" t="s">
        <v>29</v>
      </c>
      <c r="G142" s="1" t="s">
        <v>267</v>
      </c>
      <c r="H142" s="1">
        <v>24.285714285714288</v>
      </c>
      <c r="I142" s="1">
        <v>5</v>
      </c>
      <c r="J142" s="1">
        <v>24238.799999999999</v>
      </c>
      <c r="K142" s="1">
        <v>3</v>
      </c>
      <c r="L142" s="1">
        <v>1</v>
      </c>
    </row>
    <row r="143" spans="1:12" ht="43.2">
      <c r="A143" s="1">
        <v>1</v>
      </c>
      <c r="B143" s="1" t="str">
        <f>VLOOKUP(D143, 'code matching'!A:B, 2, FALSE)</f>
        <v>C5</v>
      </c>
      <c r="C143" s="1" t="s">
        <v>268</v>
      </c>
      <c r="D143" s="2" t="str">
        <f>VLOOKUP(C143, [3]Sheet1!$A:$B, 2, FALSE)</f>
        <v>Tetanus toxoid immunization among schoolchildren and among women attending antenatal care</v>
      </c>
      <c r="F143" s="1" t="s">
        <v>17</v>
      </c>
      <c r="G143" s="1" t="s">
        <v>269</v>
      </c>
      <c r="H143" s="1">
        <v>2614.2857142857151</v>
      </c>
      <c r="I143" s="1">
        <v>0.7</v>
      </c>
      <c r="J143" s="1">
        <v>243674.3</v>
      </c>
      <c r="K143" s="1">
        <v>1</v>
      </c>
      <c r="L143" s="1">
        <v>3</v>
      </c>
    </row>
    <row r="144" spans="1:12" ht="72">
      <c r="A144" s="1">
        <v>1</v>
      </c>
      <c r="B144" s="1" t="str">
        <f>VLOOKUP(D144, 'code matching'!A:B, 2, FALSE)</f>
        <v>FLH26</v>
      </c>
      <c r="C144" s="1" t="s">
        <v>270</v>
      </c>
      <c r="D144" s="2" t="str">
        <f>VLOOKUP(C144, [3]Sheet1!$A:$B, 2, FALSE)</f>
        <v>Combination therapy, including low-dose corticosteroids and generic disease-modifying antirheumatic drugs (including methotrexate), for individuals with moderate to severe rheumatoid arthritis</v>
      </c>
      <c r="F144" s="1" t="s">
        <v>10</v>
      </c>
      <c r="G144" s="1" t="s">
        <v>271</v>
      </c>
      <c r="H144" s="1">
        <v>441.42857142857139</v>
      </c>
      <c r="I144" s="1">
        <v>82.5</v>
      </c>
      <c r="J144" s="1">
        <v>647425.80000000005</v>
      </c>
      <c r="K144" s="1">
        <v>4</v>
      </c>
      <c r="L144" s="1">
        <v>1</v>
      </c>
    </row>
    <row r="145" spans="1:12">
      <c r="A145" s="1">
        <v>1</v>
      </c>
      <c r="B145" s="1" t="str">
        <f>VLOOKUP(D145, 'code matching'!A:B, 2, FALSE)</f>
        <v>FLH48</v>
      </c>
      <c r="C145" s="1" t="s">
        <v>272</v>
      </c>
      <c r="D145" s="2" t="str">
        <f>VLOOKUP(C145, [3]Sheet1!$A:$B, 2, FALSE)</f>
        <v>Trauma laparotomy</v>
      </c>
      <c r="F145" s="1" t="s">
        <v>10</v>
      </c>
      <c r="G145" s="1" t="s">
        <v>47</v>
      </c>
      <c r="H145" s="1">
        <v>24.07714285714286</v>
      </c>
      <c r="I145" s="1">
        <v>161.19999999999999</v>
      </c>
      <c r="J145" s="1">
        <v>1516927.5</v>
      </c>
      <c r="K145" s="1">
        <v>5</v>
      </c>
      <c r="L145" s="1">
        <v>1</v>
      </c>
    </row>
    <row r="146" spans="1:12">
      <c r="A146" s="1">
        <v>1</v>
      </c>
      <c r="B146" s="1" t="str">
        <f>VLOOKUP(D146, 'code matching'!A:B, 2, FALSE)</f>
        <v>FLH49</v>
      </c>
      <c r="C146" s="1" t="s">
        <v>273</v>
      </c>
      <c r="D146" s="2" t="str">
        <f>VLOOKUP(C146, [3]Sheet1!$A:$B, 2, FALSE)</f>
        <v>Trauma-related amputations</v>
      </c>
      <c r="F146" s="1" t="s">
        <v>10</v>
      </c>
      <c r="G146" s="1" t="s">
        <v>274</v>
      </c>
      <c r="H146" s="1">
        <v>25.714285714285719</v>
      </c>
      <c r="I146" s="1">
        <v>161.19999999999999</v>
      </c>
      <c r="J146" s="1">
        <v>188208.1</v>
      </c>
      <c r="K146" s="1">
        <v>5</v>
      </c>
      <c r="L146" s="1">
        <v>1</v>
      </c>
    </row>
    <row r="147" spans="1:12" ht="72">
      <c r="A147" s="1">
        <v>1</v>
      </c>
      <c r="B147" s="1" t="str">
        <f>VLOOKUP(D147, 'code matching'!A:B, 2, FALSE)</f>
        <v>HC19</v>
      </c>
      <c r="C147" s="1" t="s">
        <v>275</v>
      </c>
      <c r="D147" s="2" t="str">
        <f>VLOOKUP(C147, [3]Sheet1!$A:$B, 2, FALSE)</f>
        <v>For individuals testing positive for hepatitis B and C, assessment of treatment eligibility by trained providers followed by initiation and monitoring of antiviral treatment when indicated</v>
      </c>
      <c r="F147" s="1" t="s">
        <v>29</v>
      </c>
      <c r="G147" s="1" t="s">
        <v>276</v>
      </c>
      <c r="H147" s="1">
        <v>441.42857142857139</v>
      </c>
      <c r="I147" s="1">
        <v>231.4</v>
      </c>
      <c r="J147" s="1">
        <v>18042.5</v>
      </c>
      <c r="K147" s="1">
        <v>4</v>
      </c>
      <c r="L147" s="1">
        <v>1</v>
      </c>
    </row>
    <row r="148" spans="1:12">
      <c r="A148" s="1">
        <v>1</v>
      </c>
      <c r="B148" s="1" t="str">
        <f>VLOOKUP(D148, 'code matching'!A:B, 2, FALSE)</f>
        <v>HC63</v>
      </c>
      <c r="C148" s="1" t="s">
        <v>277</v>
      </c>
      <c r="D148" s="2" t="str">
        <f>VLOOKUP(C148, [3]Sheet1!$A:$B, 2, FALSE)</f>
        <v>Treatment of caries</v>
      </c>
      <c r="F148" s="1" t="s">
        <v>29</v>
      </c>
      <c r="G148" s="1" t="s">
        <v>278</v>
      </c>
      <c r="H148" s="1">
        <v>441.42857142857139</v>
      </c>
      <c r="I148" s="1">
        <v>16.100000000000001</v>
      </c>
      <c r="J148" s="1">
        <v>427401.5</v>
      </c>
      <c r="K148" s="1">
        <v>2</v>
      </c>
      <c r="L148" s="1">
        <v>1</v>
      </c>
    </row>
    <row r="149" spans="1:12" ht="86.4">
      <c r="A149" s="1">
        <v>1</v>
      </c>
      <c r="B149" s="1" t="str">
        <f>VLOOKUP(D149, 'code matching'!A:B, 2, FALSE)</f>
        <v>RH9</v>
      </c>
      <c r="C149" s="1" t="s">
        <v>279</v>
      </c>
      <c r="D149" s="2" t="str">
        <f>VLOOKUP(C149, [3]Sheet1!$A:$B, 2, FALSE)</f>
        <v xml:space="preserve">Treatment of early-stage childhood cancers (such as Burkitt and Hodgkin lymphoma, acute lymphoblastic leukemia, retinoblastoma, and Wilms tumor) with curative intent in pediatric cancer units or hospitals </v>
      </c>
      <c r="F149" s="1" t="s">
        <v>20</v>
      </c>
      <c r="G149" s="1" t="s">
        <v>280</v>
      </c>
      <c r="H149" s="1">
        <v>441.42857142857139</v>
      </c>
      <c r="I149" s="1">
        <v>2460</v>
      </c>
      <c r="J149" s="1">
        <v>0</v>
      </c>
      <c r="K149" s="1">
        <v>5</v>
      </c>
      <c r="L149" s="1">
        <v>3</v>
      </c>
    </row>
    <row r="150" spans="1:12" ht="28.8">
      <c r="A150" s="1">
        <v>1</v>
      </c>
      <c r="B150" s="1" t="str">
        <f>VLOOKUP(D150, 'code matching'!A:B, 2, FALSE)</f>
        <v>HC1</v>
      </c>
      <c r="C150" s="1" t="s">
        <v>281</v>
      </c>
      <c r="D150" s="2" t="str">
        <f>VLOOKUP(C150, [3]Sheet1!$A:$B, 2, FALSE)</f>
        <v>Early detection and treatment of neonatal pneumonia with oral antibiotics</v>
      </c>
      <c r="F150" s="1" t="s">
        <v>29</v>
      </c>
      <c r="G150" s="1" t="s">
        <v>282</v>
      </c>
      <c r="H150" s="1">
        <v>51.428571428571431</v>
      </c>
      <c r="I150" s="1">
        <v>3.8</v>
      </c>
      <c r="J150" s="1">
        <v>1287425.6000000001</v>
      </c>
      <c r="K150" s="1">
        <v>3</v>
      </c>
      <c r="L150" s="1">
        <v>1</v>
      </c>
    </row>
    <row r="151" spans="1:12">
      <c r="A151" s="1">
        <v>1</v>
      </c>
      <c r="B151" s="1" t="str">
        <f>VLOOKUP(D151, 'code matching'!A:B, 2, FALSE)</f>
        <v>FLH15</v>
      </c>
      <c r="C151" s="1" t="s">
        <v>283</v>
      </c>
      <c r="D151" s="2" t="str">
        <f>VLOOKUP(C151, [3]Sheet1!$A:$B, 2, FALSE)</f>
        <v>Tubal ligation</v>
      </c>
      <c r="F151" s="1" t="s">
        <v>10</v>
      </c>
      <c r="G151" s="1" t="s">
        <v>15</v>
      </c>
      <c r="H151" s="1">
        <v>999999999</v>
      </c>
      <c r="I151" s="1">
        <v>0</v>
      </c>
      <c r="J151" s="1">
        <v>109354.9</v>
      </c>
      <c r="K151" s="1">
        <v>2</v>
      </c>
      <c r="L151" s="1">
        <v>2</v>
      </c>
    </row>
    <row r="152" spans="1:12">
      <c r="A152" s="1">
        <v>1</v>
      </c>
      <c r="B152" s="1" t="str">
        <f>VLOOKUP(D152, 'code matching'!A:B, 2, FALSE)</f>
        <v>FLH50</v>
      </c>
      <c r="C152" s="1" t="s">
        <v>284</v>
      </c>
      <c r="D152" s="2" t="str">
        <f>VLOOKUP(C152, [3]Sheet1!$A:$B, 2, FALSE)</f>
        <v>Tube thoracostomy</v>
      </c>
      <c r="F152" s="1" t="s">
        <v>10</v>
      </c>
      <c r="G152" s="1" t="s">
        <v>285</v>
      </c>
      <c r="H152" s="1">
        <v>232.74285714289999</v>
      </c>
      <c r="I152" s="1">
        <v>161.19999999999999</v>
      </c>
      <c r="J152" s="1">
        <v>877729.9</v>
      </c>
      <c r="K152" s="1">
        <v>5</v>
      </c>
      <c r="L152" s="1">
        <v>1</v>
      </c>
    </row>
    <row r="153" spans="1:12" ht="43.2">
      <c r="A153" s="1">
        <v>1</v>
      </c>
      <c r="B153" s="1" t="str">
        <f>VLOOKUP(D153, 'code matching'!A:B, 2, FALSE)</f>
        <v>RH11</v>
      </c>
      <c r="C153" s="1" t="s">
        <v>286</v>
      </c>
      <c r="D153" s="2" t="str">
        <f>VLOOKUP(C153, [3]Sheet1!$A:$B, 2, FALSE)</f>
        <v>Urgent, definitive surgical management of orthopedic injuries (for example, by open reduction and internal fixation)</v>
      </c>
      <c r="F153" s="1" t="s">
        <v>20</v>
      </c>
      <c r="G153" s="1" t="s">
        <v>95</v>
      </c>
      <c r="H153" s="1">
        <v>771.42857142857144</v>
      </c>
      <c r="I153" s="1">
        <v>100.8</v>
      </c>
      <c r="J153" s="1">
        <v>0</v>
      </c>
      <c r="K153" s="1">
        <v>5</v>
      </c>
      <c r="L153" s="1">
        <v>1</v>
      </c>
    </row>
    <row r="154" spans="1:12">
      <c r="A154" s="1">
        <v>1</v>
      </c>
      <c r="B154" s="1" t="str">
        <f>VLOOKUP(D154, 'code matching'!A:B, 2, FALSE)</f>
        <v>FLH16</v>
      </c>
      <c r="C154" s="1" t="s">
        <v>287</v>
      </c>
      <c r="D154" s="2" t="str">
        <f>VLOOKUP(C154, [3]Sheet1!$A:$B, 2, FALSE)</f>
        <v>Vasectomy</v>
      </c>
      <c r="F154" s="1" t="s">
        <v>10</v>
      </c>
      <c r="G154" s="1" t="s">
        <v>15</v>
      </c>
      <c r="H154" s="1">
        <v>999999999</v>
      </c>
      <c r="I154" s="1">
        <v>0</v>
      </c>
      <c r="J154" s="1">
        <v>109354.9</v>
      </c>
      <c r="K154" s="1">
        <v>2</v>
      </c>
      <c r="L154" s="1">
        <v>2</v>
      </c>
    </row>
    <row r="155" spans="1:12" ht="72">
      <c r="A155" s="1">
        <v>1</v>
      </c>
      <c r="B155" s="1" t="str">
        <f>VLOOKUP(D155, 'code matching'!A:B, 2, FALSE)</f>
        <v>C14</v>
      </c>
      <c r="C155" s="1" t="s">
        <v>288</v>
      </c>
      <c r="D155" s="2" t="str">
        <f>VLOOKUP(C155, [3]Sheet1!$A:$B, 2, FALSE)</f>
        <v>Provision of vitamin A and zinc supplementation to children according to WHO guidelines, and provision of food supplementation to women and children in food insecure households</v>
      </c>
      <c r="F155" s="1" t="s">
        <v>17</v>
      </c>
      <c r="G155" s="1" t="s">
        <v>289</v>
      </c>
      <c r="H155" s="1">
        <v>142.85714285714289</v>
      </c>
      <c r="I155" s="1">
        <v>2.1</v>
      </c>
      <c r="J155" s="1">
        <v>4903891</v>
      </c>
      <c r="K155" s="1">
        <v>1</v>
      </c>
      <c r="L155" s="1">
        <v>1</v>
      </c>
    </row>
    <row r="156" spans="1:12" ht="28.8">
      <c r="A156" s="1">
        <v>1</v>
      </c>
      <c r="B156" s="1" t="str">
        <f>VLOOKUP(D156, 'code matching'!A:B, 2, FALSE)</f>
        <v>C51</v>
      </c>
      <c r="C156" s="1" t="s">
        <v>290</v>
      </c>
      <c r="D156" s="2" t="str">
        <f>VLOOKUP(C156, [3]Sheet1!$A:$B, 2, FALSE)</f>
        <v>WASH behavior change interventions, such as community-led total sanitation</v>
      </c>
      <c r="F156" s="1" t="s">
        <v>17</v>
      </c>
      <c r="G156" s="1" t="s">
        <v>291</v>
      </c>
      <c r="H156" s="1">
        <v>135.71428571428569</v>
      </c>
      <c r="I156" s="1">
        <v>0.4</v>
      </c>
      <c r="J156" s="1">
        <v>158342.6</v>
      </c>
      <c r="K156" s="1">
        <v>2</v>
      </c>
      <c r="L156" s="1">
        <v>1</v>
      </c>
    </row>
  </sheetData>
  <autoFilter ref="A1:L156" xr:uid="{AABA42B1-4110-FF43-8DD6-9C308EAA98E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5125-6BBD-3E44-BD79-E14241911337}">
  <dimension ref="A1:H219"/>
  <sheetViews>
    <sheetView workbookViewId="0">
      <selection activeCell="A163" sqref="A163"/>
    </sheetView>
  </sheetViews>
  <sheetFormatPr defaultColWidth="11.5546875" defaultRowHeight="14.4"/>
  <cols>
    <col min="1" max="1" width="49.109375" customWidth="1"/>
    <col min="2" max="2" width="31.109375" customWidth="1"/>
    <col min="3" max="3" width="21.33203125" customWidth="1"/>
    <col min="5" max="5" width="20.109375" customWidth="1"/>
    <col min="6" max="6" width="25.33203125" customWidth="1"/>
  </cols>
  <sheetData>
    <row r="1" spans="1:8" ht="15.6">
      <c r="A1" s="30" t="s">
        <v>295</v>
      </c>
      <c r="B1" s="30" t="s">
        <v>296</v>
      </c>
      <c r="C1" s="30" t="s">
        <v>297</v>
      </c>
      <c r="D1" s="30" t="s">
        <v>298</v>
      </c>
      <c r="E1" s="30" t="s">
        <v>299</v>
      </c>
      <c r="F1" s="30" t="s">
        <v>300</v>
      </c>
      <c r="G1" s="30" t="s">
        <v>301</v>
      </c>
      <c r="H1" s="30" t="s">
        <v>302</v>
      </c>
    </row>
    <row r="2" spans="1:8">
      <c r="A2" s="1" t="s">
        <v>120</v>
      </c>
      <c r="B2" s="1" t="s">
        <v>303</v>
      </c>
      <c r="C2" s="1" t="s">
        <v>74</v>
      </c>
      <c r="D2" s="1"/>
      <c r="E2" s="1"/>
      <c r="F2" s="1">
        <v>9.4E-2</v>
      </c>
      <c r="G2" s="1"/>
      <c r="H2" s="1"/>
    </row>
    <row r="3" spans="1:8">
      <c r="A3" s="1" t="s">
        <v>249</v>
      </c>
      <c r="B3" s="1" t="s">
        <v>304</v>
      </c>
      <c r="C3" s="1" t="s">
        <v>74</v>
      </c>
      <c r="D3" s="1"/>
      <c r="E3" s="1"/>
      <c r="F3" s="1">
        <v>9.4E-2</v>
      </c>
      <c r="G3" s="1"/>
      <c r="H3" s="1"/>
    </row>
    <row r="4" spans="1:8">
      <c r="A4" s="1" t="s">
        <v>73</v>
      </c>
      <c r="B4" s="1" t="s">
        <v>305</v>
      </c>
      <c r="C4" s="1" t="s">
        <v>74</v>
      </c>
      <c r="D4" s="1"/>
      <c r="E4" s="1"/>
      <c r="F4" s="1">
        <v>9.4E-2</v>
      </c>
      <c r="G4" s="1"/>
      <c r="H4" s="1"/>
    </row>
    <row r="5" spans="1:8">
      <c r="A5" s="1" t="s">
        <v>253</v>
      </c>
      <c r="B5" s="1" t="s">
        <v>306</v>
      </c>
      <c r="C5" s="1" t="s">
        <v>74</v>
      </c>
      <c r="D5" s="1"/>
      <c r="E5" s="1"/>
      <c r="F5" s="1">
        <v>9.4E-2</v>
      </c>
      <c r="G5" s="1"/>
      <c r="H5" s="1"/>
    </row>
    <row r="6" spans="1:8">
      <c r="A6" s="1" t="s">
        <v>127</v>
      </c>
      <c r="B6" s="1" t="s">
        <v>307</v>
      </c>
      <c r="C6" s="1" t="s">
        <v>74</v>
      </c>
      <c r="D6" s="1"/>
      <c r="E6" s="1"/>
      <c r="F6" s="1">
        <v>9.4E-2</v>
      </c>
      <c r="G6" s="1"/>
      <c r="H6" s="1"/>
    </row>
    <row r="7" spans="1:8">
      <c r="A7" s="1" t="s">
        <v>128</v>
      </c>
      <c r="B7" s="1" t="s">
        <v>308</v>
      </c>
      <c r="C7" s="1" t="s">
        <v>74</v>
      </c>
      <c r="D7" s="1"/>
      <c r="E7" s="1"/>
      <c r="F7" s="1">
        <v>9.4E-2</v>
      </c>
      <c r="G7" s="1"/>
      <c r="H7" s="1"/>
    </row>
    <row r="8" spans="1:8">
      <c r="A8" s="1" t="s">
        <v>172</v>
      </c>
      <c r="B8" s="1" t="s">
        <v>309</v>
      </c>
      <c r="C8" s="1" t="s">
        <v>74</v>
      </c>
      <c r="D8" s="1" t="s">
        <v>310</v>
      </c>
      <c r="E8" s="1"/>
      <c r="F8" s="1">
        <v>0.21691828689811607</v>
      </c>
      <c r="G8" s="1">
        <v>2</v>
      </c>
      <c r="H8" s="1">
        <v>1</v>
      </c>
    </row>
    <row r="9" spans="1:8">
      <c r="A9" s="1" t="s">
        <v>170</v>
      </c>
      <c r="B9" s="1" t="s">
        <v>311</v>
      </c>
      <c r="C9" s="1" t="s">
        <v>74</v>
      </c>
      <c r="D9" s="1"/>
      <c r="E9" s="1"/>
      <c r="F9" s="1">
        <v>0.2172769190119121</v>
      </c>
      <c r="G9" s="1"/>
      <c r="H9" s="1"/>
    </row>
    <row r="10" spans="1:8">
      <c r="A10" s="1" t="s">
        <v>168</v>
      </c>
      <c r="B10" s="1" t="s">
        <v>312</v>
      </c>
      <c r="C10" s="1" t="s">
        <v>74</v>
      </c>
      <c r="D10" s="1" t="s">
        <v>313</v>
      </c>
      <c r="E10" s="1">
        <v>23</v>
      </c>
      <c r="F10" s="1">
        <v>1.5130245068262688E-2</v>
      </c>
      <c r="G10" s="1">
        <v>0</v>
      </c>
      <c r="H10" s="1">
        <v>1</v>
      </c>
    </row>
    <row r="11" spans="1:8">
      <c r="A11" s="1" t="s">
        <v>164</v>
      </c>
      <c r="B11" s="1" t="s">
        <v>314</v>
      </c>
      <c r="C11" s="1" t="s">
        <v>74</v>
      </c>
      <c r="D11" s="1"/>
      <c r="E11" s="1"/>
      <c r="F11" s="1">
        <v>1.1599999999999999</v>
      </c>
      <c r="G11" s="1"/>
      <c r="H11" s="1"/>
    </row>
    <row r="12" spans="1:8">
      <c r="A12" s="1" t="s">
        <v>166</v>
      </c>
      <c r="B12" s="1" t="s">
        <v>315</v>
      </c>
      <c r="C12" s="1" t="s">
        <v>74</v>
      </c>
      <c r="D12" s="1" t="s">
        <v>313</v>
      </c>
      <c r="E12" s="1"/>
      <c r="F12" s="1">
        <v>1.5130245068262688E-2</v>
      </c>
      <c r="G12" s="1">
        <v>0</v>
      </c>
      <c r="H12" s="1">
        <v>1</v>
      </c>
    </row>
    <row r="13" spans="1:8">
      <c r="A13" s="1" t="s">
        <v>316</v>
      </c>
      <c r="B13" s="1" t="s">
        <v>317</v>
      </c>
      <c r="C13" s="1" t="s">
        <v>74</v>
      </c>
      <c r="D13" s="1" t="s">
        <v>318</v>
      </c>
      <c r="E13" s="1">
        <v>18</v>
      </c>
      <c r="F13" s="1">
        <v>1.1373682469786397</v>
      </c>
      <c r="G13" s="1">
        <v>1</v>
      </c>
      <c r="H13" s="1">
        <v>1</v>
      </c>
    </row>
    <row r="14" spans="1:8">
      <c r="A14" s="1" t="s">
        <v>262</v>
      </c>
      <c r="B14" s="1" t="s">
        <v>319</v>
      </c>
      <c r="C14" s="1" t="s">
        <v>74</v>
      </c>
      <c r="D14" s="1" t="s">
        <v>320</v>
      </c>
      <c r="E14" s="1">
        <v>330</v>
      </c>
      <c r="F14" s="1">
        <v>272.9580220327901</v>
      </c>
      <c r="G14" s="1">
        <v>4</v>
      </c>
      <c r="H14" s="1">
        <v>3</v>
      </c>
    </row>
    <row r="15" spans="1:8">
      <c r="A15" s="1" t="s">
        <v>22</v>
      </c>
      <c r="B15" s="1" t="s">
        <v>321</v>
      </c>
      <c r="C15" s="1" t="s">
        <v>17</v>
      </c>
      <c r="D15" s="1"/>
      <c r="E15" s="1"/>
      <c r="F15" s="1">
        <v>4.17</v>
      </c>
      <c r="G15" s="1"/>
      <c r="H15" s="1"/>
    </row>
    <row r="16" spans="1:8">
      <c r="A16" s="1" t="s">
        <v>24</v>
      </c>
      <c r="B16" s="1" t="s">
        <v>322</v>
      </c>
      <c r="C16" s="1" t="s">
        <v>17</v>
      </c>
      <c r="D16" s="1"/>
      <c r="E16" s="1"/>
      <c r="F16" s="1">
        <v>0.248529494536535</v>
      </c>
      <c r="G16" s="1"/>
      <c r="H16" s="1"/>
    </row>
    <row r="17" spans="1:8">
      <c r="A17" s="1" t="s">
        <v>323</v>
      </c>
      <c r="B17" s="1" t="s">
        <v>324</v>
      </c>
      <c r="C17" s="1" t="s">
        <v>17</v>
      </c>
      <c r="D17" s="1" t="s">
        <v>313</v>
      </c>
      <c r="E17" s="1">
        <v>19560</v>
      </c>
      <c r="F17" s="1">
        <v>5.2529935346168033</v>
      </c>
      <c r="G17" s="1">
        <v>1</v>
      </c>
      <c r="H17" s="1">
        <v>1</v>
      </c>
    </row>
    <row r="18" spans="1:8">
      <c r="A18" s="1" t="s">
        <v>58</v>
      </c>
      <c r="B18" s="1" t="s">
        <v>325</v>
      </c>
      <c r="C18" s="1" t="s">
        <v>17</v>
      </c>
      <c r="D18" s="1" t="s">
        <v>326</v>
      </c>
      <c r="E18" s="1">
        <v>13</v>
      </c>
      <c r="F18" s="1">
        <v>8.3081131621527771</v>
      </c>
      <c r="G18" s="1">
        <v>2</v>
      </c>
      <c r="H18" s="1">
        <v>2</v>
      </c>
    </row>
    <row r="19" spans="1:8">
      <c r="A19" s="1" t="s">
        <v>62</v>
      </c>
      <c r="B19" s="1" t="s">
        <v>327</v>
      </c>
      <c r="C19" s="1" t="s">
        <v>17</v>
      </c>
      <c r="D19" s="1" t="s">
        <v>310</v>
      </c>
      <c r="E19" s="1">
        <v>2400</v>
      </c>
      <c r="F19" s="1">
        <v>18.281984246694059</v>
      </c>
      <c r="G19" s="1">
        <v>4</v>
      </c>
      <c r="H19" s="1">
        <v>1</v>
      </c>
    </row>
    <row r="20" spans="1:8">
      <c r="A20" s="1" t="s">
        <v>328</v>
      </c>
      <c r="B20" s="1" t="s">
        <v>329</v>
      </c>
      <c r="C20" s="1" t="s">
        <v>17</v>
      </c>
      <c r="D20" s="1" t="s">
        <v>330</v>
      </c>
      <c r="E20" s="1">
        <v>175</v>
      </c>
      <c r="F20" s="1">
        <v>2.3558327287917193</v>
      </c>
      <c r="G20" s="1">
        <v>2</v>
      </c>
      <c r="H20" s="1">
        <v>1</v>
      </c>
    </row>
    <row r="21" spans="1:8">
      <c r="A21" s="1" t="s">
        <v>72</v>
      </c>
      <c r="B21" s="1" t="s">
        <v>331</v>
      </c>
      <c r="C21" s="1" t="s">
        <v>17</v>
      </c>
      <c r="D21" s="1" t="s">
        <v>332</v>
      </c>
      <c r="E21" s="1">
        <v>237.02</v>
      </c>
      <c r="F21" s="1">
        <v>0.118814539054747</v>
      </c>
      <c r="G21" s="1">
        <v>2</v>
      </c>
      <c r="H21" s="1">
        <v>2</v>
      </c>
    </row>
    <row r="22" spans="1:8">
      <c r="A22" s="1" t="s">
        <v>16</v>
      </c>
      <c r="B22" s="1" t="s">
        <v>333</v>
      </c>
      <c r="C22" s="1" t="s">
        <v>17</v>
      </c>
      <c r="D22" s="1" t="s">
        <v>334</v>
      </c>
      <c r="E22" s="1">
        <v>32</v>
      </c>
      <c r="F22" s="1">
        <v>47.662070827236811</v>
      </c>
      <c r="G22" s="1">
        <v>4</v>
      </c>
      <c r="H22" s="1">
        <v>1</v>
      </c>
    </row>
    <row r="23" spans="1:8">
      <c r="A23" s="1" t="s">
        <v>134</v>
      </c>
      <c r="B23" s="1" t="s">
        <v>335</v>
      </c>
      <c r="C23" s="1" t="s">
        <v>17</v>
      </c>
      <c r="D23" s="1" t="s">
        <v>326</v>
      </c>
      <c r="E23" s="1"/>
      <c r="F23" s="1">
        <v>8.9096486099157115</v>
      </c>
      <c r="G23" s="1">
        <v>3</v>
      </c>
      <c r="H23" s="1">
        <v>2</v>
      </c>
    </row>
    <row r="24" spans="1:8">
      <c r="A24" s="1" t="s">
        <v>336</v>
      </c>
      <c r="B24" s="1" t="s">
        <v>337</v>
      </c>
      <c r="C24" s="1" t="s">
        <v>17</v>
      </c>
      <c r="D24" s="1" t="s">
        <v>313</v>
      </c>
      <c r="E24" s="1"/>
      <c r="F24" s="1">
        <v>5.2529935346168033</v>
      </c>
      <c r="G24" s="1">
        <v>1</v>
      </c>
      <c r="H24" s="1">
        <v>1</v>
      </c>
    </row>
    <row r="25" spans="1:8">
      <c r="A25" s="1" t="s">
        <v>338</v>
      </c>
      <c r="B25" s="1" t="s">
        <v>339</v>
      </c>
      <c r="C25" s="1" t="s">
        <v>17</v>
      </c>
      <c r="D25" s="1" t="s">
        <v>318</v>
      </c>
      <c r="E25" s="1">
        <v>63</v>
      </c>
      <c r="F25" s="1">
        <v>171.59430847972808</v>
      </c>
      <c r="G25" s="1">
        <v>5</v>
      </c>
      <c r="H25" s="1">
        <v>1</v>
      </c>
    </row>
    <row r="26" spans="1:8">
      <c r="A26" s="1" t="s">
        <v>340</v>
      </c>
      <c r="B26" s="1" t="s">
        <v>341</v>
      </c>
      <c r="C26" s="1" t="s">
        <v>17</v>
      </c>
      <c r="D26" s="1"/>
      <c r="E26" s="1"/>
      <c r="F26" s="1">
        <v>0.21691828689811607</v>
      </c>
      <c r="G26" s="1"/>
      <c r="H26" s="1"/>
    </row>
    <row r="27" spans="1:8">
      <c r="A27" s="1" t="s">
        <v>90</v>
      </c>
      <c r="B27" s="1" t="s">
        <v>342</v>
      </c>
      <c r="C27" s="1" t="s">
        <v>17</v>
      </c>
      <c r="D27" s="1" t="s">
        <v>343</v>
      </c>
      <c r="E27" s="1">
        <v>2908</v>
      </c>
      <c r="F27" s="1">
        <v>0.21691828689811607</v>
      </c>
      <c r="G27" s="1">
        <v>1</v>
      </c>
      <c r="H27" s="1">
        <v>1</v>
      </c>
    </row>
    <row r="28" spans="1:8">
      <c r="A28" s="1" t="s">
        <v>344</v>
      </c>
      <c r="B28" s="1" t="s">
        <v>344</v>
      </c>
      <c r="C28" s="1" t="s">
        <v>17</v>
      </c>
      <c r="D28" s="1" t="s">
        <v>345</v>
      </c>
      <c r="E28" s="1"/>
      <c r="F28" s="1">
        <v>0.5</v>
      </c>
      <c r="G28" s="1">
        <v>0</v>
      </c>
      <c r="H28" s="1">
        <v>1</v>
      </c>
    </row>
    <row r="29" spans="1:8">
      <c r="A29" s="1" t="s">
        <v>92</v>
      </c>
      <c r="B29" s="1" t="s">
        <v>346</v>
      </c>
      <c r="C29" s="1" t="s">
        <v>17</v>
      </c>
      <c r="D29" s="1" t="s">
        <v>347</v>
      </c>
      <c r="E29" s="1">
        <v>95</v>
      </c>
      <c r="F29" s="1">
        <v>4.2925946792905298</v>
      </c>
      <c r="G29" s="1">
        <v>3</v>
      </c>
      <c r="H29" s="1">
        <v>1</v>
      </c>
    </row>
    <row r="30" spans="1:8">
      <c r="A30" s="1" t="s">
        <v>348</v>
      </c>
      <c r="B30" s="1" t="s">
        <v>349</v>
      </c>
      <c r="C30" s="1" t="s">
        <v>17</v>
      </c>
      <c r="D30" s="1" t="s">
        <v>350</v>
      </c>
      <c r="E30" s="1"/>
      <c r="F30" s="1">
        <v>5.2529935346168033</v>
      </c>
      <c r="G30" s="1">
        <v>1</v>
      </c>
      <c r="H30" s="1">
        <v>1</v>
      </c>
    </row>
    <row r="31" spans="1:8">
      <c r="A31" s="1" t="s">
        <v>351</v>
      </c>
      <c r="B31" s="1" t="s">
        <v>352</v>
      </c>
      <c r="C31" s="1" t="s">
        <v>17</v>
      </c>
      <c r="D31" s="1" t="s">
        <v>330</v>
      </c>
      <c r="E31" s="1"/>
      <c r="F31" s="1">
        <v>0.63500000000000001</v>
      </c>
      <c r="G31" s="1">
        <v>2</v>
      </c>
      <c r="H31" s="1">
        <v>1</v>
      </c>
    </row>
    <row r="32" spans="1:8">
      <c r="A32" s="1" t="s">
        <v>241</v>
      </c>
      <c r="B32" s="1" t="s">
        <v>353</v>
      </c>
      <c r="C32" s="1" t="s">
        <v>17</v>
      </c>
      <c r="D32" s="1" t="s">
        <v>313</v>
      </c>
      <c r="E32" s="1">
        <v>1</v>
      </c>
      <c r="F32" s="1">
        <v>5.2529935346168033</v>
      </c>
      <c r="G32" s="1">
        <v>1</v>
      </c>
      <c r="H32" s="1">
        <v>1</v>
      </c>
    </row>
    <row r="33" spans="1:8">
      <c r="A33" s="1" t="s">
        <v>354</v>
      </c>
      <c r="B33" s="1" t="s">
        <v>355</v>
      </c>
      <c r="C33" s="1" t="s">
        <v>17</v>
      </c>
      <c r="D33" s="1" t="s">
        <v>310</v>
      </c>
      <c r="E33" s="1">
        <v>1186</v>
      </c>
      <c r="F33" s="1">
        <v>0.248529494536535</v>
      </c>
      <c r="G33" s="1">
        <v>2</v>
      </c>
      <c r="H33" s="1">
        <v>1</v>
      </c>
    </row>
    <row r="34" spans="1:8">
      <c r="A34" s="1" t="s">
        <v>356</v>
      </c>
      <c r="B34" s="1" t="s">
        <v>357</v>
      </c>
      <c r="C34" s="1" t="s">
        <v>17</v>
      </c>
      <c r="D34" s="1" t="s">
        <v>310</v>
      </c>
      <c r="E34" s="1">
        <v>1400</v>
      </c>
      <c r="F34" s="1">
        <v>4.9445642275071053</v>
      </c>
      <c r="G34" s="1">
        <v>3</v>
      </c>
      <c r="H34" s="1">
        <v>1</v>
      </c>
    </row>
    <row r="35" spans="1:8">
      <c r="A35" s="1" t="s">
        <v>117</v>
      </c>
      <c r="B35" s="1" t="s">
        <v>358</v>
      </c>
      <c r="C35" s="1" t="s">
        <v>17</v>
      </c>
      <c r="D35" s="1"/>
      <c r="E35" s="1"/>
      <c r="F35" s="1">
        <v>9.4E-2</v>
      </c>
      <c r="G35" s="1"/>
      <c r="H35" s="1"/>
    </row>
    <row r="36" spans="1:8">
      <c r="A36" s="1" t="s">
        <v>81</v>
      </c>
      <c r="B36" s="1" t="s">
        <v>359</v>
      </c>
      <c r="C36" s="1" t="s">
        <v>17</v>
      </c>
      <c r="D36" s="1" t="s">
        <v>330</v>
      </c>
      <c r="E36" s="1">
        <v>31</v>
      </c>
      <c r="F36" s="1">
        <v>3.0509432572250312</v>
      </c>
      <c r="G36" s="1">
        <v>3</v>
      </c>
      <c r="H36" s="1">
        <v>1</v>
      </c>
    </row>
    <row r="37" spans="1:8">
      <c r="A37" s="1" t="s">
        <v>360</v>
      </c>
      <c r="B37" s="1" t="s">
        <v>361</v>
      </c>
      <c r="C37" s="1" t="s">
        <v>17</v>
      </c>
      <c r="D37" s="1" t="s">
        <v>343</v>
      </c>
      <c r="E37" s="1"/>
      <c r="F37" s="1">
        <v>0.21691828689811607</v>
      </c>
      <c r="G37" s="1">
        <v>1</v>
      </c>
      <c r="H37" s="1">
        <v>1</v>
      </c>
    </row>
    <row r="38" spans="1:8">
      <c r="A38" s="1" t="s">
        <v>197</v>
      </c>
      <c r="B38" s="1" t="s">
        <v>362</v>
      </c>
      <c r="C38" s="1" t="s">
        <v>17</v>
      </c>
      <c r="D38" s="1" t="s">
        <v>330</v>
      </c>
      <c r="E38" s="1">
        <v>93</v>
      </c>
      <c r="F38" s="1">
        <v>2.4124539576553481</v>
      </c>
      <c r="G38" s="1">
        <v>3</v>
      </c>
      <c r="H38" s="1">
        <v>1</v>
      </c>
    </row>
    <row r="39" spans="1:8">
      <c r="A39" s="1" t="s">
        <v>123</v>
      </c>
      <c r="B39" s="1" t="s">
        <v>363</v>
      </c>
      <c r="C39" s="1" t="s">
        <v>17</v>
      </c>
      <c r="D39" s="1" t="s">
        <v>330</v>
      </c>
      <c r="E39" s="1">
        <v>54</v>
      </c>
      <c r="F39" s="1">
        <v>0.52964517770802444</v>
      </c>
      <c r="G39" s="1">
        <v>1</v>
      </c>
      <c r="H39" s="1">
        <v>1</v>
      </c>
    </row>
    <row r="40" spans="1:8">
      <c r="A40" s="1" t="s">
        <v>364</v>
      </c>
      <c r="B40" s="1" t="s">
        <v>365</v>
      </c>
      <c r="C40" s="1" t="s">
        <v>17</v>
      </c>
      <c r="D40" s="1" t="s">
        <v>330</v>
      </c>
      <c r="E40" s="1">
        <v>49</v>
      </c>
      <c r="F40" s="1">
        <v>0.48827628906858322</v>
      </c>
      <c r="G40" s="1">
        <v>1</v>
      </c>
      <c r="H40" s="1">
        <v>1</v>
      </c>
    </row>
    <row r="41" spans="1:8">
      <c r="A41" s="1" t="s">
        <v>140</v>
      </c>
      <c r="B41" s="1" t="s">
        <v>366</v>
      </c>
      <c r="C41" s="1" t="s">
        <v>17</v>
      </c>
      <c r="D41" s="1" t="s">
        <v>330</v>
      </c>
      <c r="E41" s="1">
        <v>49</v>
      </c>
      <c r="F41" s="1">
        <v>0.4495242026345686</v>
      </c>
      <c r="G41" s="1">
        <v>1</v>
      </c>
      <c r="H41" s="1">
        <v>1</v>
      </c>
    </row>
    <row r="42" spans="1:8">
      <c r="A42" s="1" t="s">
        <v>201</v>
      </c>
      <c r="B42" s="1" t="s">
        <v>367</v>
      </c>
      <c r="C42" s="1" t="s">
        <v>17</v>
      </c>
      <c r="D42" s="1" t="s">
        <v>330</v>
      </c>
      <c r="E42" s="1">
        <v>6</v>
      </c>
      <c r="F42" s="1">
        <v>2.0230000000000001E-2</v>
      </c>
      <c r="G42" s="1">
        <v>2</v>
      </c>
      <c r="H42" s="1">
        <v>1</v>
      </c>
    </row>
    <row r="43" spans="1:8">
      <c r="A43" s="1" t="s">
        <v>54</v>
      </c>
      <c r="B43" s="1" t="s">
        <v>368</v>
      </c>
      <c r="C43" s="1" t="s">
        <v>17</v>
      </c>
      <c r="D43" s="1" t="s">
        <v>330</v>
      </c>
      <c r="E43" s="1">
        <v>6</v>
      </c>
      <c r="F43" s="1">
        <v>1.7790273640275014</v>
      </c>
      <c r="G43" s="1">
        <v>1</v>
      </c>
      <c r="H43" s="1">
        <v>1</v>
      </c>
    </row>
    <row r="44" spans="1:8">
      <c r="A44" s="1" t="s">
        <v>109</v>
      </c>
      <c r="B44" s="1" t="s">
        <v>369</v>
      </c>
      <c r="C44" s="1" t="s">
        <v>17</v>
      </c>
      <c r="D44" s="1"/>
      <c r="E44" s="1"/>
      <c r="F44" s="1">
        <v>9.4E-2</v>
      </c>
      <c r="G44" s="1"/>
      <c r="H44" s="1"/>
    </row>
    <row r="45" spans="1:8">
      <c r="A45" s="1" t="s">
        <v>370</v>
      </c>
      <c r="B45" s="1" t="s">
        <v>371</v>
      </c>
      <c r="C45" s="1" t="s">
        <v>17</v>
      </c>
      <c r="D45" s="1" t="s">
        <v>330</v>
      </c>
      <c r="E45" s="1">
        <v>49</v>
      </c>
      <c r="F45" s="1">
        <v>20.946845798236545</v>
      </c>
      <c r="G45" s="1">
        <v>3</v>
      </c>
      <c r="H45" s="1">
        <v>1</v>
      </c>
    </row>
    <row r="46" spans="1:8">
      <c r="A46" s="1" t="s">
        <v>372</v>
      </c>
      <c r="B46" s="1" t="s">
        <v>373</v>
      </c>
      <c r="C46" s="1" t="s">
        <v>17</v>
      </c>
      <c r="D46" s="1" t="s">
        <v>313</v>
      </c>
      <c r="E46" s="1"/>
      <c r="F46" s="1">
        <v>5.2529935346168033</v>
      </c>
      <c r="G46" s="1">
        <v>1</v>
      </c>
      <c r="H46" s="1">
        <v>1</v>
      </c>
    </row>
    <row r="47" spans="1:8">
      <c r="A47" s="1" t="s">
        <v>374</v>
      </c>
      <c r="B47" s="1" t="s">
        <v>375</v>
      </c>
      <c r="C47" s="1" t="s">
        <v>17</v>
      </c>
      <c r="D47" s="1"/>
      <c r="E47" s="1"/>
      <c r="F47" s="1">
        <v>3</v>
      </c>
      <c r="G47" s="1"/>
      <c r="H47" s="1"/>
    </row>
    <row r="48" spans="1:8">
      <c r="A48" s="1" t="s">
        <v>152</v>
      </c>
      <c r="B48" s="1" t="s">
        <v>376</v>
      </c>
      <c r="C48" s="1" t="s">
        <v>17</v>
      </c>
      <c r="D48" s="1" t="s">
        <v>377</v>
      </c>
      <c r="E48" s="1">
        <v>0.05</v>
      </c>
      <c r="F48" s="1">
        <v>8.2514989228512476</v>
      </c>
      <c r="G48" s="1">
        <v>4</v>
      </c>
      <c r="H48" s="1">
        <v>3</v>
      </c>
    </row>
    <row r="49" spans="1:8">
      <c r="A49" s="1" t="s">
        <v>154</v>
      </c>
      <c r="B49" s="1" t="s">
        <v>378</v>
      </c>
      <c r="C49" s="1" t="s">
        <v>17</v>
      </c>
      <c r="D49" s="1" t="s">
        <v>318</v>
      </c>
      <c r="E49" s="1"/>
      <c r="F49" s="1">
        <v>5.2529935346168033</v>
      </c>
      <c r="G49" s="1">
        <v>2</v>
      </c>
      <c r="H49" s="1">
        <v>1</v>
      </c>
    </row>
    <row r="50" spans="1:8">
      <c r="A50" s="1" t="s">
        <v>162</v>
      </c>
      <c r="B50" s="1" t="s">
        <v>379</v>
      </c>
      <c r="C50" s="1" t="s">
        <v>17</v>
      </c>
      <c r="D50" s="1" t="s">
        <v>318</v>
      </c>
      <c r="E50" s="1">
        <v>11</v>
      </c>
      <c r="F50" s="1">
        <v>0.4546559785461225</v>
      </c>
      <c r="G50" s="1">
        <v>1</v>
      </c>
      <c r="H50" s="1">
        <v>1</v>
      </c>
    </row>
    <row r="51" spans="1:8">
      <c r="A51" s="1" t="s">
        <v>380</v>
      </c>
      <c r="B51" s="1" t="s">
        <v>381</v>
      </c>
      <c r="C51" s="1" t="s">
        <v>17</v>
      </c>
      <c r="D51" s="1" t="s">
        <v>330</v>
      </c>
      <c r="E51" s="1">
        <v>6</v>
      </c>
      <c r="F51" s="1">
        <v>0.80994758485579355</v>
      </c>
      <c r="G51" s="1">
        <v>1</v>
      </c>
      <c r="H51" s="1">
        <v>1</v>
      </c>
    </row>
    <row r="52" spans="1:8">
      <c r="A52" s="1" t="s">
        <v>382</v>
      </c>
      <c r="B52" s="1" t="s">
        <v>383</v>
      </c>
      <c r="C52" s="1" t="s">
        <v>17</v>
      </c>
      <c r="D52" s="1" t="s">
        <v>330</v>
      </c>
      <c r="E52" s="1">
        <v>76</v>
      </c>
      <c r="F52" s="1">
        <v>0.35823210058869914</v>
      </c>
      <c r="G52" s="1">
        <v>1</v>
      </c>
      <c r="H52" s="1">
        <v>1</v>
      </c>
    </row>
    <row r="53" spans="1:8">
      <c r="A53" s="1" t="s">
        <v>384</v>
      </c>
      <c r="B53" s="1" t="s">
        <v>385</v>
      </c>
      <c r="C53" s="1" t="s">
        <v>17</v>
      </c>
      <c r="D53" s="1" t="s">
        <v>343</v>
      </c>
      <c r="E53" s="1"/>
      <c r="F53" s="1">
        <v>3.0219082286381651</v>
      </c>
      <c r="G53" s="1">
        <v>2</v>
      </c>
      <c r="H53" s="1">
        <v>1</v>
      </c>
    </row>
    <row r="54" spans="1:8">
      <c r="A54" s="1" t="s">
        <v>193</v>
      </c>
      <c r="B54" s="1" t="s">
        <v>193</v>
      </c>
      <c r="C54" s="1" t="s">
        <v>17</v>
      </c>
      <c r="D54" s="1" t="s">
        <v>326</v>
      </c>
      <c r="E54" s="1">
        <v>103</v>
      </c>
      <c r="F54" s="1">
        <v>10.5</v>
      </c>
      <c r="G54" s="1">
        <v>2</v>
      </c>
      <c r="H54" s="1">
        <v>2</v>
      </c>
    </row>
    <row r="55" spans="1:8">
      <c r="A55" s="1" t="s">
        <v>386</v>
      </c>
      <c r="B55" s="1" t="s">
        <v>387</v>
      </c>
      <c r="C55" s="1" t="s">
        <v>17</v>
      </c>
      <c r="D55" s="1" t="s">
        <v>313</v>
      </c>
      <c r="E55" s="1"/>
      <c r="F55" s="1">
        <v>5.2529935346168033</v>
      </c>
      <c r="G55" s="1">
        <v>1</v>
      </c>
      <c r="H55" s="1">
        <v>1</v>
      </c>
    </row>
    <row r="56" spans="1:8">
      <c r="A56" s="1" t="s">
        <v>202</v>
      </c>
      <c r="B56" s="1" t="s">
        <v>388</v>
      </c>
      <c r="C56" s="1" t="s">
        <v>17</v>
      </c>
      <c r="D56" s="1" t="s">
        <v>334</v>
      </c>
      <c r="E56" s="1">
        <v>1206</v>
      </c>
      <c r="F56" s="1">
        <v>0.118814539054747</v>
      </c>
      <c r="G56" s="1">
        <v>1</v>
      </c>
      <c r="H56" s="1">
        <v>1</v>
      </c>
    </row>
    <row r="57" spans="1:8">
      <c r="A57" s="1" t="s">
        <v>389</v>
      </c>
      <c r="B57" s="1" t="s">
        <v>390</v>
      </c>
      <c r="C57" s="1" t="s">
        <v>17</v>
      </c>
      <c r="D57" s="1" t="s">
        <v>313</v>
      </c>
      <c r="E57" s="1"/>
      <c r="F57" s="1">
        <v>5.2529935346168033</v>
      </c>
      <c r="G57" s="1">
        <v>1</v>
      </c>
      <c r="H57" s="1">
        <v>1</v>
      </c>
    </row>
    <row r="58" spans="1:8">
      <c r="A58" s="1" t="s">
        <v>204</v>
      </c>
      <c r="B58" s="1" t="s">
        <v>391</v>
      </c>
      <c r="C58" s="1" t="s">
        <v>17</v>
      </c>
      <c r="D58" s="1" t="s">
        <v>310</v>
      </c>
      <c r="E58" s="1">
        <v>1</v>
      </c>
      <c r="F58" s="1">
        <v>1.7038647869188983</v>
      </c>
      <c r="G58" s="1">
        <v>2</v>
      </c>
      <c r="H58" s="1">
        <v>1</v>
      </c>
    </row>
    <row r="59" spans="1:8">
      <c r="A59" s="1" t="s">
        <v>68</v>
      </c>
      <c r="B59" s="1" t="s">
        <v>392</v>
      </c>
      <c r="C59" s="1" t="s">
        <v>17</v>
      </c>
      <c r="D59" s="1" t="s">
        <v>310</v>
      </c>
      <c r="E59" s="1">
        <v>64</v>
      </c>
      <c r="F59" s="1">
        <v>80.443131461033275</v>
      </c>
      <c r="G59" s="1">
        <v>5</v>
      </c>
      <c r="H59" s="1">
        <v>1</v>
      </c>
    </row>
    <row r="60" spans="1:8">
      <c r="A60" s="1" t="s">
        <v>393</v>
      </c>
      <c r="B60" s="1" t="s">
        <v>394</v>
      </c>
      <c r="C60" s="1" t="s">
        <v>17</v>
      </c>
      <c r="D60" s="1" t="s">
        <v>395</v>
      </c>
      <c r="E60" s="1">
        <v>3324</v>
      </c>
      <c r="F60" s="1">
        <v>5.3019999999999996</v>
      </c>
      <c r="G60" s="1">
        <v>3</v>
      </c>
      <c r="H60" s="1">
        <v>2</v>
      </c>
    </row>
    <row r="61" spans="1:8">
      <c r="A61" s="1" t="s">
        <v>142</v>
      </c>
      <c r="B61" s="1" t="s">
        <v>396</v>
      </c>
      <c r="C61" s="1" t="s">
        <v>17</v>
      </c>
      <c r="D61" s="1" t="s">
        <v>334</v>
      </c>
      <c r="E61" s="1">
        <v>285</v>
      </c>
      <c r="F61" s="1">
        <v>5.5264999999999995</v>
      </c>
      <c r="G61" s="1">
        <v>2</v>
      </c>
      <c r="H61" s="1">
        <v>1</v>
      </c>
    </row>
    <row r="62" spans="1:8">
      <c r="A62" s="1" t="s">
        <v>288</v>
      </c>
      <c r="B62" s="1" t="s">
        <v>397</v>
      </c>
      <c r="C62" s="1" t="s">
        <v>17</v>
      </c>
      <c r="D62" s="1" t="s">
        <v>334</v>
      </c>
      <c r="E62" s="1">
        <v>88</v>
      </c>
      <c r="F62" s="1">
        <v>2.0609322772375127</v>
      </c>
      <c r="G62" s="1">
        <v>1</v>
      </c>
      <c r="H62" s="1">
        <v>1</v>
      </c>
    </row>
    <row r="63" spans="1:8">
      <c r="A63" s="1" t="s">
        <v>235</v>
      </c>
      <c r="B63" s="1" t="s">
        <v>235</v>
      </c>
      <c r="C63" s="1" t="s">
        <v>17</v>
      </c>
      <c r="D63" s="1" t="s">
        <v>326</v>
      </c>
      <c r="E63" s="1"/>
      <c r="F63" s="1">
        <v>10.5</v>
      </c>
      <c r="G63" s="1">
        <v>2</v>
      </c>
      <c r="H63" s="1">
        <v>2</v>
      </c>
    </row>
    <row r="64" spans="1:8">
      <c r="A64" s="1" t="s">
        <v>264</v>
      </c>
      <c r="B64" s="1" t="s">
        <v>398</v>
      </c>
      <c r="C64" s="1" t="s">
        <v>17</v>
      </c>
      <c r="D64" s="1" t="s">
        <v>320</v>
      </c>
      <c r="E64" s="1"/>
      <c r="F64" s="1">
        <v>2.1640023560422481</v>
      </c>
      <c r="G64" s="1">
        <v>1</v>
      </c>
      <c r="H64" s="1">
        <v>3</v>
      </c>
    </row>
    <row r="65" spans="1:8">
      <c r="A65" s="1" t="s">
        <v>399</v>
      </c>
      <c r="B65" s="1" t="s">
        <v>399</v>
      </c>
      <c r="C65" s="1" t="s">
        <v>17</v>
      </c>
      <c r="D65" s="1" t="s">
        <v>400</v>
      </c>
      <c r="E65" s="1">
        <v>242</v>
      </c>
      <c r="F65" s="1">
        <v>9.1430085225198408</v>
      </c>
      <c r="G65" s="1">
        <v>1</v>
      </c>
      <c r="H65" s="1">
        <v>1</v>
      </c>
    </row>
    <row r="66" spans="1:8">
      <c r="A66" s="1" t="s">
        <v>401</v>
      </c>
      <c r="B66" s="1" t="s">
        <v>402</v>
      </c>
      <c r="C66" s="1" t="s">
        <v>17</v>
      </c>
      <c r="D66" s="1"/>
      <c r="E66" s="1">
        <v>742</v>
      </c>
      <c r="F66" s="1">
        <v>3</v>
      </c>
      <c r="G66" s="1"/>
      <c r="H66" s="1"/>
    </row>
    <row r="67" spans="1:8">
      <c r="A67" s="1" t="s">
        <v>403</v>
      </c>
      <c r="B67" s="1" t="s">
        <v>403</v>
      </c>
      <c r="C67" s="1" t="s">
        <v>17</v>
      </c>
      <c r="D67" s="1" t="s">
        <v>404</v>
      </c>
      <c r="E67" s="1"/>
      <c r="F67" s="1">
        <v>0.14000000000000001</v>
      </c>
      <c r="G67" s="1">
        <v>0</v>
      </c>
      <c r="H67" s="1">
        <v>1</v>
      </c>
    </row>
    <row r="68" spans="1:8">
      <c r="A68" s="1" t="s">
        <v>268</v>
      </c>
      <c r="B68" s="1" t="s">
        <v>405</v>
      </c>
      <c r="C68" s="1" t="s">
        <v>17</v>
      </c>
      <c r="D68" s="1" t="s">
        <v>406</v>
      </c>
      <c r="E68" s="1">
        <v>1830</v>
      </c>
      <c r="F68" s="1">
        <v>0.7</v>
      </c>
      <c r="G68" s="1">
        <v>1</v>
      </c>
      <c r="H68" s="1">
        <v>3</v>
      </c>
    </row>
    <row r="69" spans="1:8">
      <c r="A69" s="1" t="s">
        <v>407</v>
      </c>
      <c r="B69" s="1" t="s">
        <v>408</v>
      </c>
      <c r="C69" s="1" t="s">
        <v>17</v>
      </c>
      <c r="D69" s="1" t="s">
        <v>318</v>
      </c>
      <c r="E69" s="1">
        <v>324</v>
      </c>
      <c r="F69" s="1">
        <v>2.8255201523976186</v>
      </c>
      <c r="G69" s="1">
        <v>2</v>
      </c>
      <c r="H69" s="1">
        <v>1</v>
      </c>
    </row>
    <row r="70" spans="1:8">
      <c r="A70" s="1" t="s">
        <v>409</v>
      </c>
      <c r="B70" s="1" t="s">
        <v>410</v>
      </c>
      <c r="C70" s="1" t="s">
        <v>17</v>
      </c>
      <c r="D70" s="1" t="s">
        <v>313</v>
      </c>
      <c r="E70" s="1"/>
      <c r="F70" s="1">
        <v>5.2529935346168033</v>
      </c>
      <c r="G70" s="1">
        <v>1</v>
      </c>
      <c r="H70" s="1">
        <v>1</v>
      </c>
    </row>
    <row r="71" spans="1:8">
      <c r="A71" s="1" t="s">
        <v>411</v>
      </c>
      <c r="B71" s="1" t="s">
        <v>412</v>
      </c>
      <c r="C71" s="1" t="s">
        <v>17</v>
      </c>
      <c r="D71" s="1" t="s">
        <v>313</v>
      </c>
      <c r="E71" s="1">
        <v>1</v>
      </c>
      <c r="F71" s="1">
        <v>5.2529935346168033</v>
      </c>
      <c r="G71" s="1">
        <v>1</v>
      </c>
      <c r="H71" s="1">
        <v>1</v>
      </c>
    </row>
    <row r="72" spans="1:8">
      <c r="A72" s="1" t="s">
        <v>413</v>
      </c>
      <c r="B72" s="1" t="s">
        <v>414</v>
      </c>
      <c r="C72" s="1" t="s">
        <v>17</v>
      </c>
      <c r="D72" s="1" t="s">
        <v>415</v>
      </c>
      <c r="E72" s="1">
        <v>3276</v>
      </c>
      <c r="F72" s="1">
        <v>0.6</v>
      </c>
      <c r="G72" s="1">
        <v>1</v>
      </c>
      <c r="H72" s="1">
        <v>1</v>
      </c>
    </row>
    <row r="73" spans="1:8">
      <c r="A73" s="1" t="s">
        <v>290</v>
      </c>
      <c r="B73" s="1" t="s">
        <v>416</v>
      </c>
      <c r="C73" s="1" t="s">
        <v>17</v>
      </c>
      <c r="D73" s="1" t="s">
        <v>347</v>
      </c>
      <c r="E73" s="1"/>
      <c r="F73" s="1">
        <v>0.41942359295556153</v>
      </c>
      <c r="G73" s="1">
        <v>2</v>
      </c>
      <c r="H73" s="1">
        <v>1</v>
      </c>
    </row>
    <row r="74" spans="1:8">
      <c r="A74" s="1" t="s">
        <v>28</v>
      </c>
      <c r="B74" s="1" t="s">
        <v>417</v>
      </c>
      <c r="C74" s="1" t="s">
        <v>29</v>
      </c>
      <c r="D74" s="1" t="s">
        <v>310</v>
      </c>
      <c r="E74" s="1">
        <v>64</v>
      </c>
      <c r="F74" s="1">
        <v>196.47598722309527</v>
      </c>
      <c r="G74" s="1">
        <v>5</v>
      </c>
      <c r="H74" s="1">
        <v>1</v>
      </c>
    </row>
    <row r="75" spans="1:8">
      <c r="A75" s="1" t="s">
        <v>418</v>
      </c>
      <c r="B75" s="1" t="s">
        <v>419</v>
      </c>
      <c r="C75" s="1" t="s">
        <v>29</v>
      </c>
      <c r="D75" s="1" t="s">
        <v>350</v>
      </c>
      <c r="E75" s="1"/>
      <c r="F75" s="1">
        <v>4.6867967066306457</v>
      </c>
      <c r="G75" s="1">
        <v>1</v>
      </c>
      <c r="H75" s="1">
        <v>1</v>
      </c>
    </row>
    <row r="76" spans="1:8">
      <c r="A76" s="1" t="s">
        <v>420</v>
      </c>
      <c r="B76" s="1" t="s">
        <v>421</v>
      </c>
      <c r="C76" s="1" t="s">
        <v>29</v>
      </c>
      <c r="D76" s="1" t="s">
        <v>422</v>
      </c>
      <c r="E76" s="1"/>
      <c r="F76" s="1">
        <v>0.67</v>
      </c>
      <c r="G76" s="1">
        <v>1</v>
      </c>
      <c r="H76" s="1">
        <v>2</v>
      </c>
    </row>
    <row r="77" spans="1:8">
      <c r="A77" s="1" t="s">
        <v>35</v>
      </c>
      <c r="B77" s="1" t="s">
        <v>423</v>
      </c>
      <c r="C77" s="1" t="s">
        <v>29</v>
      </c>
      <c r="D77" s="1" t="s">
        <v>313</v>
      </c>
      <c r="E77" s="1">
        <v>5968</v>
      </c>
      <c r="F77" s="1">
        <v>5.2529935346168033</v>
      </c>
      <c r="G77" s="1">
        <v>1</v>
      </c>
      <c r="H77" s="1">
        <v>1</v>
      </c>
    </row>
    <row r="78" spans="1:8">
      <c r="A78" s="1" t="s">
        <v>424</v>
      </c>
      <c r="B78" s="1" t="s">
        <v>425</v>
      </c>
      <c r="C78" s="1" t="s">
        <v>29</v>
      </c>
      <c r="D78" s="1" t="s">
        <v>426</v>
      </c>
      <c r="E78" s="1"/>
      <c r="F78" s="1">
        <v>7.6419917665766146</v>
      </c>
      <c r="G78" s="1">
        <v>1</v>
      </c>
      <c r="H78" s="1">
        <v>2</v>
      </c>
    </row>
    <row r="79" spans="1:8">
      <c r="A79" s="1" t="s">
        <v>75</v>
      </c>
      <c r="B79" s="1" t="s">
        <v>75</v>
      </c>
      <c r="C79" s="1" t="s">
        <v>29</v>
      </c>
      <c r="D79" s="1" t="s">
        <v>427</v>
      </c>
      <c r="E79" s="1"/>
      <c r="F79" s="1">
        <v>16.122124895711178</v>
      </c>
      <c r="G79" s="1">
        <v>3</v>
      </c>
      <c r="H79" s="1">
        <v>1</v>
      </c>
    </row>
    <row r="80" spans="1:8">
      <c r="A80" s="1" t="s">
        <v>136</v>
      </c>
      <c r="B80" s="1" t="s">
        <v>428</v>
      </c>
      <c r="C80" s="1" t="s">
        <v>29</v>
      </c>
      <c r="D80" s="1" t="s">
        <v>326</v>
      </c>
      <c r="E80" s="1">
        <v>58</v>
      </c>
      <c r="F80" s="1">
        <v>8.1317460167989637</v>
      </c>
      <c r="G80" s="1">
        <v>3</v>
      </c>
      <c r="H80" s="1">
        <v>2</v>
      </c>
    </row>
    <row r="81" spans="1:8">
      <c r="A81" s="1" t="s">
        <v>85</v>
      </c>
      <c r="B81" s="1" t="s">
        <v>85</v>
      </c>
      <c r="C81" s="1" t="s">
        <v>29</v>
      </c>
      <c r="D81" s="1" t="s">
        <v>427</v>
      </c>
      <c r="E81" s="1"/>
      <c r="F81" s="1">
        <v>16.122124895711178</v>
      </c>
      <c r="G81" s="1">
        <v>3</v>
      </c>
      <c r="H81" s="1">
        <v>1</v>
      </c>
    </row>
    <row r="82" spans="1:8">
      <c r="A82" s="1" t="s">
        <v>86</v>
      </c>
      <c r="B82" s="1" t="s">
        <v>86</v>
      </c>
      <c r="C82" s="1" t="s">
        <v>29</v>
      </c>
      <c r="D82" s="1" t="s">
        <v>429</v>
      </c>
      <c r="E82" s="1">
        <v>5.29</v>
      </c>
      <c r="F82" s="1">
        <v>16.122124895711178</v>
      </c>
      <c r="G82" s="1">
        <v>3</v>
      </c>
      <c r="H82" s="1">
        <v>1</v>
      </c>
    </row>
    <row r="83" spans="1:8">
      <c r="A83" s="1" t="s">
        <v>281</v>
      </c>
      <c r="B83" s="1" t="s">
        <v>430</v>
      </c>
      <c r="C83" s="1" t="s">
        <v>29</v>
      </c>
      <c r="D83" s="1" t="s">
        <v>431</v>
      </c>
      <c r="E83" s="1">
        <v>36.340000000000003</v>
      </c>
      <c r="F83" s="1">
        <v>3.8321104472039145</v>
      </c>
      <c r="G83" s="1">
        <v>3</v>
      </c>
      <c r="H83" s="1">
        <v>1</v>
      </c>
    </row>
    <row r="84" spans="1:8">
      <c r="A84" s="1" t="s">
        <v>100</v>
      </c>
      <c r="B84" s="1" t="s">
        <v>432</v>
      </c>
      <c r="C84" s="1" t="s">
        <v>29</v>
      </c>
      <c r="D84" s="1"/>
      <c r="E84" s="1"/>
      <c r="F84" s="1">
        <v>64.358947526679671</v>
      </c>
      <c r="G84" s="1"/>
      <c r="H84" s="1"/>
    </row>
    <row r="85" spans="1:8">
      <c r="A85" s="1" t="s">
        <v>103</v>
      </c>
      <c r="B85" s="1" t="s">
        <v>433</v>
      </c>
      <c r="C85" s="1" t="s">
        <v>29</v>
      </c>
      <c r="D85" s="1" t="s">
        <v>326</v>
      </c>
      <c r="E85" s="1"/>
      <c r="F85" s="1">
        <v>10.803598959475361</v>
      </c>
      <c r="G85" s="1">
        <v>3</v>
      </c>
      <c r="H85" s="1">
        <v>2</v>
      </c>
    </row>
    <row r="86" spans="1:8">
      <c r="A86" s="1" t="s">
        <v>434</v>
      </c>
      <c r="B86" s="1" t="s">
        <v>435</v>
      </c>
      <c r="C86" s="1" t="s">
        <v>29</v>
      </c>
      <c r="D86" s="1" t="s">
        <v>313</v>
      </c>
      <c r="E86" s="1"/>
      <c r="F86" s="1">
        <v>5.2529935346168033</v>
      </c>
      <c r="G86" s="1">
        <v>1</v>
      </c>
      <c r="H86" s="1">
        <v>1</v>
      </c>
    </row>
    <row r="87" spans="1:8">
      <c r="A87" s="1" t="s">
        <v>436</v>
      </c>
      <c r="B87" s="1" t="s">
        <v>437</v>
      </c>
      <c r="C87" s="1" t="s">
        <v>29</v>
      </c>
      <c r="D87" s="1"/>
      <c r="E87" s="1"/>
      <c r="F87" s="1">
        <v>64.358947526679671</v>
      </c>
      <c r="G87" s="1"/>
      <c r="H87" s="1"/>
    </row>
    <row r="88" spans="1:8">
      <c r="A88" s="1" t="s">
        <v>438</v>
      </c>
      <c r="B88" s="1" t="s">
        <v>439</v>
      </c>
      <c r="C88" s="1" t="s">
        <v>29</v>
      </c>
      <c r="D88" s="1" t="s">
        <v>326</v>
      </c>
      <c r="E88" s="1">
        <v>64</v>
      </c>
      <c r="F88" s="1"/>
      <c r="G88" s="1"/>
      <c r="H88" s="1">
        <v>2</v>
      </c>
    </row>
    <row r="89" spans="1:8">
      <c r="A89" s="1" t="s">
        <v>275</v>
      </c>
      <c r="B89" s="1" t="s">
        <v>440</v>
      </c>
      <c r="C89" s="1" t="s">
        <v>29</v>
      </c>
      <c r="D89" s="1" t="s">
        <v>441</v>
      </c>
      <c r="E89" s="1"/>
      <c r="F89" s="1">
        <v>231.3957558791088</v>
      </c>
      <c r="G89" s="1">
        <v>4</v>
      </c>
      <c r="H89" s="1">
        <v>1</v>
      </c>
    </row>
    <row r="90" spans="1:8">
      <c r="A90" s="1" t="s">
        <v>145</v>
      </c>
      <c r="B90" s="1" t="s">
        <v>442</v>
      </c>
      <c r="C90" s="1" t="s">
        <v>29</v>
      </c>
      <c r="D90" s="1" t="s">
        <v>443</v>
      </c>
      <c r="E90" s="1">
        <v>2626</v>
      </c>
      <c r="F90" s="1">
        <v>73.145665077899338</v>
      </c>
      <c r="G90" s="1">
        <v>5</v>
      </c>
      <c r="H90" s="1">
        <v>3</v>
      </c>
    </row>
    <row r="91" spans="1:8">
      <c r="A91" s="1" t="s">
        <v>444</v>
      </c>
      <c r="B91" s="1" t="s">
        <v>444</v>
      </c>
      <c r="C91" s="1" t="s">
        <v>29</v>
      </c>
      <c r="D91" s="1"/>
      <c r="E91" s="1"/>
      <c r="F91" s="1">
        <v>0.33678664645906475</v>
      </c>
      <c r="G91" s="1"/>
      <c r="H91" s="1"/>
    </row>
    <row r="92" spans="1:8">
      <c r="A92" s="1" t="s">
        <v>110</v>
      </c>
      <c r="B92" s="1" t="s">
        <v>445</v>
      </c>
      <c r="C92" s="1" t="s">
        <v>29</v>
      </c>
      <c r="D92" s="1" t="s">
        <v>441</v>
      </c>
      <c r="E92" s="1"/>
      <c r="F92" s="1">
        <v>9.2458293766477926</v>
      </c>
      <c r="G92" s="1">
        <v>2</v>
      </c>
      <c r="H92" s="1">
        <v>1</v>
      </c>
    </row>
    <row r="93" spans="1:8">
      <c r="A93" s="1" t="s">
        <v>446</v>
      </c>
      <c r="B93" s="1" t="s">
        <v>447</v>
      </c>
      <c r="C93" s="1" t="s">
        <v>29</v>
      </c>
      <c r="D93" s="1"/>
      <c r="E93" s="1"/>
      <c r="F93" s="1">
        <v>9.4E-2</v>
      </c>
      <c r="G93" s="1"/>
      <c r="H93" s="1"/>
    </row>
    <row r="94" spans="1:8">
      <c r="A94" s="1" t="s">
        <v>448</v>
      </c>
      <c r="B94" s="1" t="s">
        <v>449</v>
      </c>
      <c r="C94" s="1" t="s">
        <v>29</v>
      </c>
      <c r="D94" s="1" t="s">
        <v>450</v>
      </c>
      <c r="E94" s="1"/>
      <c r="F94" s="1">
        <v>13.431505823786758</v>
      </c>
      <c r="G94" s="1">
        <v>2</v>
      </c>
      <c r="H94" s="1">
        <v>1</v>
      </c>
    </row>
    <row r="95" spans="1:8">
      <c r="A95" s="1" t="s">
        <v>451</v>
      </c>
      <c r="B95" s="1" t="s">
        <v>452</v>
      </c>
      <c r="C95" s="1" t="s">
        <v>29</v>
      </c>
      <c r="D95" s="1" t="s">
        <v>453</v>
      </c>
      <c r="E95" s="1"/>
      <c r="F95" s="1">
        <v>19.220474619863193</v>
      </c>
      <c r="G95" s="1">
        <v>2</v>
      </c>
      <c r="H95" s="1">
        <v>1</v>
      </c>
    </row>
    <row r="96" spans="1:8">
      <c r="A96" s="1" t="s">
        <v>129</v>
      </c>
      <c r="B96" s="1" t="s">
        <v>454</v>
      </c>
      <c r="C96" s="1" t="s">
        <v>29</v>
      </c>
      <c r="D96" s="1" t="s">
        <v>455</v>
      </c>
      <c r="E96" s="1">
        <v>1100</v>
      </c>
      <c r="F96" s="1">
        <v>50.993475299729845</v>
      </c>
      <c r="G96" s="1">
        <v>2</v>
      </c>
      <c r="H96" s="1">
        <v>1</v>
      </c>
    </row>
    <row r="97" spans="1:8">
      <c r="A97" s="1" t="s">
        <v>41</v>
      </c>
      <c r="B97" s="1" t="s">
        <v>456</v>
      </c>
      <c r="C97" s="1" t="s">
        <v>29</v>
      </c>
      <c r="D97" s="1" t="s">
        <v>457</v>
      </c>
      <c r="E97" s="1">
        <v>1499</v>
      </c>
      <c r="F97" s="1">
        <v>153.27000000000001</v>
      </c>
      <c r="G97" s="1">
        <v>4</v>
      </c>
      <c r="H97" s="1">
        <v>1</v>
      </c>
    </row>
    <row r="98" spans="1:8">
      <c r="A98" s="1" t="s">
        <v>458</v>
      </c>
      <c r="B98" s="1" t="s">
        <v>458</v>
      </c>
      <c r="C98" s="1" t="s">
        <v>29</v>
      </c>
      <c r="D98" s="1" t="s">
        <v>343</v>
      </c>
      <c r="E98" s="1"/>
      <c r="F98" s="1">
        <v>1.1635440671162765E-2</v>
      </c>
      <c r="G98" s="1">
        <v>1</v>
      </c>
      <c r="H98" s="1">
        <v>1</v>
      </c>
    </row>
    <row r="99" spans="1:8">
      <c r="A99" s="1" t="s">
        <v>211</v>
      </c>
      <c r="B99" s="1" t="s">
        <v>459</v>
      </c>
      <c r="C99" s="1" t="s">
        <v>29</v>
      </c>
      <c r="D99" s="1" t="s">
        <v>460</v>
      </c>
      <c r="E99" s="1">
        <v>437</v>
      </c>
      <c r="F99" s="1">
        <v>13.379999999999999</v>
      </c>
      <c r="G99" s="1">
        <v>3</v>
      </c>
      <c r="H99" s="1">
        <v>1</v>
      </c>
    </row>
    <row r="100" spans="1:8">
      <c r="A100" s="1" t="s">
        <v>96</v>
      </c>
      <c r="B100" s="1" t="s">
        <v>461</v>
      </c>
      <c r="C100" s="1" t="s">
        <v>29</v>
      </c>
      <c r="D100" s="1" t="s">
        <v>462</v>
      </c>
      <c r="E100" s="1">
        <v>115</v>
      </c>
      <c r="F100" s="1">
        <v>22.86</v>
      </c>
      <c r="G100" s="1">
        <v>4</v>
      </c>
      <c r="H100" s="1">
        <v>3</v>
      </c>
    </row>
    <row r="101" spans="1:8">
      <c r="A101" s="1" t="s">
        <v>39</v>
      </c>
      <c r="B101" s="1" t="s">
        <v>463</v>
      </c>
      <c r="C101" s="1" t="s">
        <v>29</v>
      </c>
      <c r="D101" s="1" t="s">
        <v>464</v>
      </c>
      <c r="E101" s="1">
        <v>147</v>
      </c>
      <c r="F101" s="1">
        <v>81.752040520855701</v>
      </c>
      <c r="G101" s="1">
        <v>6</v>
      </c>
      <c r="H101" s="1">
        <v>1</v>
      </c>
    </row>
    <row r="102" spans="1:8">
      <c r="A102" s="1" t="s">
        <v>180</v>
      </c>
      <c r="B102" s="1" t="s">
        <v>465</v>
      </c>
      <c r="C102" s="1" t="s">
        <v>29</v>
      </c>
      <c r="D102" s="1" t="s">
        <v>466</v>
      </c>
      <c r="E102" s="1"/>
      <c r="F102" s="1">
        <v>9.6124698474463486</v>
      </c>
      <c r="G102" s="1">
        <v>4</v>
      </c>
      <c r="H102" s="1">
        <v>1</v>
      </c>
    </row>
    <row r="103" spans="1:8">
      <c r="A103" s="1" t="s">
        <v>184</v>
      </c>
      <c r="B103" s="1" t="s">
        <v>467</v>
      </c>
      <c r="C103" s="1" t="s">
        <v>29</v>
      </c>
      <c r="D103" s="1" t="s">
        <v>468</v>
      </c>
      <c r="E103" s="1"/>
      <c r="F103" s="1">
        <v>16.122124895711178</v>
      </c>
      <c r="G103" s="1">
        <v>4</v>
      </c>
      <c r="H103" s="1">
        <v>1</v>
      </c>
    </row>
    <row r="104" spans="1:8">
      <c r="A104" s="1" t="s">
        <v>199</v>
      </c>
      <c r="B104" s="1" t="s">
        <v>469</v>
      </c>
      <c r="C104" s="1" t="s">
        <v>29</v>
      </c>
      <c r="D104" s="1" t="s">
        <v>332</v>
      </c>
      <c r="E104" s="1">
        <v>1675</v>
      </c>
      <c r="F104" s="1">
        <v>3.1742986146488623</v>
      </c>
      <c r="G104" s="1">
        <v>3</v>
      </c>
      <c r="H104" s="1">
        <v>2</v>
      </c>
    </row>
    <row r="105" spans="1:8">
      <c r="A105" s="1" t="s">
        <v>237</v>
      </c>
      <c r="B105" s="1" t="s">
        <v>470</v>
      </c>
      <c r="C105" s="1" t="s">
        <v>29</v>
      </c>
      <c r="D105" s="1" t="s">
        <v>471</v>
      </c>
      <c r="E105" s="1">
        <v>1499</v>
      </c>
      <c r="F105" s="1">
        <v>82.57</v>
      </c>
      <c r="G105" s="1">
        <v>4</v>
      </c>
      <c r="H105" s="1">
        <v>2</v>
      </c>
    </row>
    <row r="106" spans="1:8">
      <c r="A106" s="1" t="s">
        <v>186</v>
      </c>
      <c r="B106" s="1" t="s">
        <v>472</v>
      </c>
      <c r="C106" s="1" t="s">
        <v>29</v>
      </c>
      <c r="D106" s="1" t="s">
        <v>453</v>
      </c>
      <c r="E106" s="1">
        <v>4393</v>
      </c>
      <c r="F106" s="1">
        <v>1.4797812679861231</v>
      </c>
      <c r="G106" s="1">
        <v>0</v>
      </c>
      <c r="H106" s="1">
        <v>1</v>
      </c>
    </row>
    <row r="107" spans="1:8">
      <c r="A107" s="1" t="s">
        <v>101</v>
      </c>
      <c r="B107" s="1" t="s">
        <v>473</v>
      </c>
      <c r="C107" s="1" t="s">
        <v>29</v>
      </c>
      <c r="D107" s="1" t="s">
        <v>474</v>
      </c>
      <c r="E107" s="1">
        <v>3560</v>
      </c>
      <c r="F107" s="1">
        <v>2.923101510025103</v>
      </c>
      <c r="G107" s="1">
        <v>3</v>
      </c>
      <c r="H107" s="1">
        <v>1</v>
      </c>
    </row>
    <row r="108" spans="1:8">
      <c r="A108" s="1" t="s">
        <v>191</v>
      </c>
      <c r="B108" s="1" t="s">
        <v>191</v>
      </c>
      <c r="C108" s="1" t="s">
        <v>29</v>
      </c>
      <c r="D108" s="1" t="s">
        <v>310</v>
      </c>
      <c r="E108" s="1">
        <v>9</v>
      </c>
      <c r="F108" s="1">
        <v>254.60902660160465</v>
      </c>
      <c r="G108" s="1">
        <v>5</v>
      </c>
      <c r="H108" s="1">
        <v>1</v>
      </c>
    </row>
    <row r="109" spans="1:8">
      <c r="A109" s="1" t="s">
        <v>195</v>
      </c>
      <c r="B109" s="1" t="s">
        <v>475</v>
      </c>
      <c r="C109" s="1" t="s">
        <v>29</v>
      </c>
      <c r="D109" s="1" t="s">
        <v>343</v>
      </c>
      <c r="E109" s="1">
        <v>2908</v>
      </c>
      <c r="F109" s="1">
        <v>2.8939906360520209</v>
      </c>
      <c r="G109" s="1">
        <v>3</v>
      </c>
      <c r="H109" s="1">
        <v>1</v>
      </c>
    </row>
    <row r="110" spans="1:8">
      <c r="A110" s="1" t="s">
        <v>476</v>
      </c>
      <c r="B110" s="1" t="s">
        <v>477</v>
      </c>
      <c r="C110" s="1" t="s">
        <v>29</v>
      </c>
      <c r="D110" s="1" t="s">
        <v>310</v>
      </c>
      <c r="E110" s="1">
        <v>12680</v>
      </c>
      <c r="F110" s="1">
        <v>131.71779696347781</v>
      </c>
      <c r="G110" s="1">
        <v>5</v>
      </c>
      <c r="H110" s="1">
        <v>1</v>
      </c>
    </row>
    <row r="111" spans="1:8">
      <c r="A111" s="1" t="s">
        <v>266</v>
      </c>
      <c r="B111" s="1" t="s">
        <v>478</v>
      </c>
      <c r="C111" s="1" t="s">
        <v>29</v>
      </c>
      <c r="D111" s="1" t="s">
        <v>310</v>
      </c>
      <c r="E111" s="1">
        <v>17</v>
      </c>
      <c r="F111" s="1">
        <v>5.0067137408726454</v>
      </c>
      <c r="G111" s="1">
        <v>3</v>
      </c>
      <c r="H111" s="1">
        <v>1</v>
      </c>
    </row>
    <row r="112" spans="1:8">
      <c r="A112" s="1" t="s">
        <v>31</v>
      </c>
      <c r="B112" s="1" t="s">
        <v>479</v>
      </c>
      <c r="C112" s="1" t="s">
        <v>29</v>
      </c>
      <c r="D112" s="1" t="s">
        <v>480</v>
      </c>
      <c r="E112" s="1"/>
      <c r="F112" s="1">
        <v>2.675764110756124E-2</v>
      </c>
      <c r="G112" s="1">
        <v>1</v>
      </c>
      <c r="H112" s="1">
        <v>1</v>
      </c>
    </row>
    <row r="113" spans="1:8">
      <c r="A113" s="1" t="s">
        <v>66</v>
      </c>
      <c r="B113" s="1" t="s">
        <v>481</v>
      </c>
      <c r="C113" s="1" t="s">
        <v>29</v>
      </c>
      <c r="D113" s="1"/>
      <c r="E113" s="1"/>
      <c r="F113" s="1">
        <v>3.9155617804681011</v>
      </c>
      <c r="G113" s="1"/>
      <c r="H113" s="1"/>
    </row>
    <row r="114" spans="1:8">
      <c r="A114" s="1" t="s">
        <v>206</v>
      </c>
      <c r="B114" s="1" t="s">
        <v>482</v>
      </c>
      <c r="C114" s="1" t="s">
        <v>29</v>
      </c>
      <c r="D114" s="1" t="s">
        <v>330</v>
      </c>
      <c r="E114" s="1">
        <v>27</v>
      </c>
      <c r="F114" s="1">
        <v>6.1816122110580389</v>
      </c>
      <c r="G114" s="1">
        <v>2</v>
      </c>
      <c r="H114" s="1">
        <v>1</v>
      </c>
    </row>
    <row r="115" spans="1:8">
      <c r="A115" s="1" t="s">
        <v>483</v>
      </c>
      <c r="B115" s="1" t="s">
        <v>484</v>
      </c>
      <c r="C115" s="1" t="s">
        <v>29</v>
      </c>
      <c r="D115" s="1" t="s">
        <v>310</v>
      </c>
      <c r="E115" s="1">
        <v>3.16</v>
      </c>
      <c r="F115" s="1">
        <v>32.674754216549147</v>
      </c>
      <c r="G115" s="1">
        <v>4</v>
      </c>
      <c r="H115" s="1">
        <v>1</v>
      </c>
    </row>
    <row r="116" spans="1:8">
      <c r="A116" s="1" t="s">
        <v>207</v>
      </c>
      <c r="B116" s="1" t="s">
        <v>485</v>
      </c>
      <c r="C116" s="1" t="s">
        <v>29</v>
      </c>
      <c r="D116" s="1" t="s">
        <v>486</v>
      </c>
      <c r="E116" s="1">
        <v>11484</v>
      </c>
      <c r="F116" s="1">
        <v>35.44</v>
      </c>
      <c r="G116" s="1">
        <v>2</v>
      </c>
      <c r="H116" s="1">
        <v>1</v>
      </c>
    </row>
    <row r="117" spans="1:8">
      <c r="A117" s="1" t="s">
        <v>209</v>
      </c>
      <c r="B117" s="1" t="s">
        <v>487</v>
      </c>
      <c r="C117" s="1" t="s">
        <v>29</v>
      </c>
      <c r="D117" s="1"/>
      <c r="E117" s="1"/>
      <c r="F117" s="1">
        <v>64.358947526679671</v>
      </c>
      <c r="G117" s="1"/>
      <c r="H117" s="1"/>
    </row>
    <row r="118" spans="1:8">
      <c r="A118" s="1" t="s">
        <v>488</v>
      </c>
      <c r="B118" s="1" t="s">
        <v>489</v>
      </c>
      <c r="C118" s="1" t="s">
        <v>29</v>
      </c>
      <c r="D118" s="1" t="s">
        <v>468</v>
      </c>
      <c r="E118" s="1"/>
      <c r="F118" s="1">
        <v>16.122124895711178</v>
      </c>
      <c r="G118" s="1">
        <v>4</v>
      </c>
      <c r="H118" s="1"/>
    </row>
    <row r="119" spans="1:8">
      <c r="A119" s="1" t="s">
        <v>233</v>
      </c>
      <c r="B119" s="1" t="s">
        <v>490</v>
      </c>
      <c r="C119" s="1" t="s">
        <v>29</v>
      </c>
      <c r="D119" s="1" t="s">
        <v>313</v>
      </c>
      <c r="E119" s="1"/>
      <c r="F119" s="1">
        <v>5.2529935346168033</v>
      </c>
      <c r="G119" s="1">
        <v>1</v>
      </c>
      <c r="H119" s="1">
        <v>1</v>
      </c>
    </row>
    <row r="120" spans="1:8">
      <c r="A120" s="1" t="s">
        <v>491</v>
      </c>
      <c r="B120" s="1" t="s">
        <v>492</v>
      </c>
      <c r="C120" s="1" t="s">
        <v>29</v>
      </c>
      <c r="D120" s="1" t="s">
        <v>493</v>
      </c>
      <c r="E120" s="1">
        <v>832</v>
      </c>
      <c r="F120" s="1">
        <v>3.61</v>
      </c>
      <c r="G120" s="1">
        <v>1</v>
      </c>
      <c r="H120" s="1">
        <v>1</v>
      </c>
    </row>
    <row r="121" spans="1:8">
      <c r="A121" s="1" t="s">
        <v>494</v>
      </c>
      <c r="B121" s="1" t="s">
        <v>495</v>
      </c>
      <c r="C121" s="1" t="s">
        <v>29</v>
      </c>
      <c r="D121" s="1" t="s">
        <v>496</v>
      </c>
      <c r="E121" s="1">
        <v>4813</v>
      </c>
      <c r="F121" s="1">
        <v>41.05698281732284</v>
      </c>
      <c r="G121" s="1">
        <v>2</v>
      </c>
      <c r="H121" s="1">
        <v>1</v>
      </c>
    </row>
    <row r="122" spans="1:8">
      <c r="A122" s="1" t="s">
        <v>77</v>
      </c>
      <c r="B122" s="1" t="s">
        <v>497</v>
      </c>
      <c r="C122" s="1" t="s">
        <v>29</v>
      </c>
      <c r="D122" s="1" t="s">
        <v>498</v>
      </c>
      <c r="E122" s="1">
        <v>1</v>
      </c>
      <c r="F122" s="1">
        <v>73.615185505463486</v>
      </c>
      <c r="G122" s="1">
        <v>3</v>
      </c>
      <c r="H122" s="1">
        <v>1</v>
      </c>
    </row>
    <row r="123" spans="1:8">
      <c r="A123" s="1" t="s">
        <v>79</v>
      </c>
      <c r="B123" s="1" t="s">
        <v>499</v>
      </c>
      <c r="C123" s="1" t="s">
        <v>29</v>
      </c>
      <c r="D123" s="1" t="s">
        <v>500</v>
      </c>
      <c r="E123" s="1">
        <v>72799</v>
      </c>
      <c r="F123" s="1">
        <v>8.8451659255067661</v>
      </c>
      <c r="G123" s="1">
        <v>2</v>
      </c>
      <c r="H123" s="1">
        <v>3</v>
      </c>
    </row>
    <row r="124" spans="1:8">
      <c r="A124" s="1" t="s">
        <v>151</v>
      </c>
      <c r="B124" s="1" t="s">
        <v>501</v>
      </c>
      <c r="C124" s="1" t="s">
        <v>29</v>
      </c>
      <c r="D124" s="1" t="s">
        <v>502</v>
      </c>
      <c r="E124" s="1">
        <v>2301</v>
      </c>
      <c r="F124" s="1">
        <v>13.020616039822261</v>
      </c>
      <c r="G124" s="1">
        <v>3</v>
      </c>
      <c r="H124" s="1">
        <v>3</v>
      </c>
    </row>
    <row r="125" spans="1:8">
      <c r="A125" s="1" t="s">
        <v>239</v>
      </c>
      <c r="B125" s="1" t="s">
        <v>503</v>
      </c>
      <c r="C125" s="1" t="s">
        <v>29</v>
      </c>
      <c r="D125" s="1" t="s">
        <v>504</v>
      </c>
      <c r="E125" s="1"/>
      <c r="F125" s="1">
        <v>0.12884216254510045</v>
      </c>
      <c r="G125" s="1">
        <v>0</v>
      </c>
      <c r="H125" s="1">
        <v>1</v>
      </c>
    </row>
    <row r="126" spans="1:8">
      <c r="A126" s="1" t="s">
        <v>505</v>
      </c>
      <c r="B126" s="1" t="s">
        <v>506</v>
      </c>
      <c r="C126" s="1" t="s">
        <v>29</v>
      </c>
      <c r="D126" s="1"/>
      <c r="E126" s="1"/>
      <c r="F126" s="1">
        <v>9.4E-2</v>
      </c>
      <c r="G126" s="1"/>
      <c r="H126" s="1"/>
    </row>
    <row r="127" spans="1:8">
      <c r="A127" s="1" t="s">
        <v>260</v>
      </c>
      <c r="B127" s="1" t="s">
        <v>260</v>
      </c>
      <c r="C127" s="1" t="s">
        <v>29</v>
      </c>
      <c r="D127" s="1" t="s">
        <v>468</v>
      </c>
      <c r="E127" s="1"/>
      <c r="F127" s="1">
        <v>16.122124895711178</v>
      </c>
      <c r="G127" s="1">
        <v>4</v>
      </c>
      <c r="H127" s="1">
        <v>1</v>
      </c>
    </row>
    <row r="128" spans="1:8">
      <c r="A128" s="1" t="s">
        <v>160</v>
      </c>
      <c r="B128" s="1" t="s">
        <v>507</v>
      </c>
      <c r="C128" s="1" t="s">
        <v>29</v>
      </c>
      <c r="D128" s="1" t="s">
        <v>474</v>
      </c>
      <c r="E128" s="1">
        <v>62.55</v>
      </c>
      <c r="F128" s="1">
        <v>2.8590157106456027</v>
      </c>
      <c r="G128" s="1">
        <v>3</v>
      </c>
      <c r="H128" s="1">
        <v>1</v>
      </c>
    </row>
    <row r="129" spans="1:8">
      <c r="A129" s="1" t="s">
        <v>508</v>
      </c>
      <c r="B129" s="1" t="s">
        <v>509</v>
      </c>
      <c r="C129" s="1" t="s">
        <v>29</v>
      </c>
      <c r="D129" s="1" t="s">
        <v>510</v>
      </c>
      <c r="E129" s="1">
        <v>4898</v>
      </c>
      <c r="F129" s="1">
        <v>30.843021994351353</v>
      </c>
      <c r="G129" s="1">
        <v>3</v>
      </c>
      <c r="H129" s="1">
        <v>3</v>
      </c>
    </row>
    <row r="130" spans="1:8">
      <c r="A130" s="1" t="s">
        <v>511</v>
      </c>
      <c r="B130" s="1" t="s">
        <v>512</v>
      </c>
      <c r="C130" s="1" t="s">
        <v>29</v>
      </c>
      <c r="D130" s="1" t="s">
        <v>313</v>
      </c>
      <c r="E130" s="1">
        <v>96</v>
      </c>
      <c r="F130" s="1">
        <v>11.087821949862175</v>
      </c>
      <c r="G130" s="1">
        <v>1</v>
      </c>
      <c r="H130" s="1">
        <v>1</v>
      </c>
    </row>
    <row r="131" spans="1:8">
      <c r="A131" s="1" t="s">
        <v>513</v>
      </c>
      <c r="B131" s="1" t="s">
        <v>514</v>
      </c>
      <c r="C131" s="1" t="s">
        <v>29</v>
      </c>
      <c r="D131" s="1" t="s">
        <v>504</v>
      </c>
      <c r="E131" s="1">
        <v>12</v>
      </c>
      <c r="F131" s="1">
        <v>0.12884216254510045</v>
      </c>
      <c r="G131" s="1">
        <v>1</v>
      </c>
      <c r="H131" s="1">
        <v>1</v>
      </c>
    </row>
    <row r="132" spans="1:8">
      <c r="A132" s="1" t="s">
        <v>277</v>
      </c>
      <c r="B132" s="1" t="s">
        <v>277</v>
      </c>
      <c r="C132" s="1" t="s">
        <v>29</v>
      </c>
      <c r="D132" s="1" t="s">
        <v>345</v>
      </c>
      <c r="E132" s="1"/>
      <c r="F132" s="1">
        <v>16.122124895711178</v>
      </c>
      <c r="G132" s="1">
        <v>2</v>
      </c>
      <c r="H132" s="1">
        <v>1</v>
      </c>
    </row>
    <row r="133" spans="1:8">
      <c r="A133" s="1" t="s">
        <v>70</v>
      </c>
      <c r="B133" s="1" t="s">
        <v>515</v>
      </c>
      <c r="C133" s="1" t="s">
        <v>516</v>
      </c>
      <c r="D133" s="1" t="s">
        <v>332</v>
      </c>
      <c r="E133" s="1">
        <v>237</v>
      </c>
      <c r="F133" s="1">
        <v>2.3797644691069815</v>
      </c>
      <c r="G133" s="1">
        <v>3</v>
      </c>
      <c r="H133" s="1">
        <v>3</v>
      </c>
    </row>
    <row r="134" spans="1:8">
      <c r="A134" s="1" t="s">
        <v>83</v>
      </c>
      <c r="B134" s="1" t="s">
        <v>517</v>
      </c>
      <c r="C134" s="1" t="s">
        <v>516</v>
      </c>
      <c r="D134" s="1" t="s">
        <v>320</v>
      </c>
      <c r="E134" s="1">
        <v>1032</v>
      </c>
      <c r="F134" s="1">
        <v>111.26</v>
      </c>
      <c r="G134" s="1">
        <v>4</v>
      </c>
      <c r="H134" s="1">
        <v>3</v>
      </c>
    </row>
    <row r="135" spans="1:8">
      <c r="A135" s="1" t="s">
        <v>118</v>
      </c>
      <c r="B135" s="1" t="s">
        <v>518</v>
      </c>
      <c r="C135" s="1" t="s">
        <v>516</v>
      </c>
      <c r="D135" s="1" t="s">
        <v>453</v>
      </c>
      <c r="E135" s="1"/>
      <c r="F135" s="1">
        <v>64.39489403018591</v>
      </c>
      <c r="G135" s="1">
        <v>2</v>
      </c>
      <c r="H135" s="1">
        <v>1</v>
      </c>
    </row>
    <row r="136" spans="1:8">
      <c r="A136" s="1" t="s">
        <v>50</v>
      </c>
      <c r="B136" s="1" t="s">
        <v>519</v>
      </c>
      <c r="C136" s="1" t="s">
        <v>516</v>
      </c>
      <c r="D136" s="1" t="s">
        <v>520</v>
      </c>
      <c r="E136" s="1">
        <v>5488</v>
      </c>
      <c r="F136" s="1">
        <v>2.0885911092222216</v>
      </c>
      <c r="G136" s="1">
        <v>3</v>
      </c>
      <c r="H136" s="1">
        <v>3</v>
      </c>
    </row>
    <row r="137" spans="1:8">
      <c r="A137" s="1" t="s">
        <v>178</v>
      </c>
      <c r="B137" s="1" t="s">
        <v>521</v>
      </c>
      <c r="C137" s="1" t="s">
        <v>516</v>
      </c>
      <c r="D137" s="1" t="s">
        <v>522</v>
      </c>
      <c r="E137" s="1">
        <v>172</v>
      </c>
      <c r="F137" s="1">
        <v>244.39936583785567</v>
      </c>
      <c r="G137" s="1">
        <v>4</v>
      </c>
      <c r="H137" s="1">
        <v>3</v>
      </c>
    </row>
    <row r="138" spans="1:8">
      <c r="A138" s="1" t="s">
        <v>523</v>
      </c>
      <c r="B138" s="1" t="s">
        <v>524</v>
      </c>
      <c r="C138" s="1" t="s">
        <v>516</v>
      </c>
      <c r="D138" s="1" t="s">
        <v>400</v>
      </c>
      <c r="E138" s="1">
        <v>681</v>
      </c>
      <c r="F138" s="1">
        <v>3.6837913810802321</v>
      </c>
      <c r="G138" s="1">
        <v>2</v>
      </c>
      <c r="H138" s="1">
        <v>1</v>
      </c>
    </row>
    <row r="139" spans="1:8">
      <c r="A139" s="1" t="s">
        <v>525</v>
      </c>
      <c r="B139" s="1" t="s">
        <v>525</v>
      </c>
      <c r="C139" s="1" t="s">
        <v>516</v>
      </c>
      <c r="D139" s="1"/>
      <c r="E139" s="1"/>
      <c r="F139" s="1">
        <v>3.7862030200502059</v>
      </c>
      <c r="G139" s="1"/>
      <c r="H139" s="1"/>
    </row>
    <row r="140" spans="1:8">
      <c r="A140" s="1" t="s">
        <v>48</v>
      </c>
      <c r="B140" s="1" t="s">
        <v>526</v>
      </c>
      <c r="C140" s="1" t="s">
        <v>516</v>
      </c>
      <c r="D140" s="1" t="s">
        <v>527</v>
      </c>
      <c r="E140" s="1">
        <v>72799</v>
      </c>
      <c r="F140" s="1">
        <v>1.0838059076525397</v>
      </c>
      <c r="G140" s="1">
        <v>1</v>
      </c>
      <c r="H140" s="1">
        <v>1</v>
      </c>
    </row>
    <row r="141" spans="1:8">
      <c r="A141" s="1" t="s">
        <v>114</v>
      </c>
      <c r="B141" s="1" t="s">
        <v>528</v>
      </c>
      <c r="C141" s="1" t="s">
        <v>516</v>
      </c>
      <c r="D141" s="1" t="s">
        <v>502</v>
      </c>
      <c r="E141" s="1">
        <v>1089</v>
      </c>
      <c r="F141" s="1">
        <v>1.6933568648852475</v>
      </c>
      <c r="G141" s="1">
        <v>2</v>
      </c>
      <c r="H141" s="1">
        <v>3</v>
      </c>
    </row>
    <row r="142" spans="1:8">
      <c r="A142" s="1" t="s">
        <v>26</v>
      </c>
      <c r="B142" s="1" t="s">
        <v>26</v>
      </c>
      <c r="C142" s="1" t="s">
        <v>10</v>
      </c>
      <c r="D142" s="1" t="s">
        <v>529</v>
      </c>
      <c r="E142" s="1">
        <v>5</v>
      </c>
      <c r="F142" s="1">
        <v>161.22124895711178</v>
      </c>
      <c r="G142" s="1">
        <v>6</v>
      </c>
      <c r="H142" s="1">
        <v>1</v>
      </c>
    </row>
    <row r="143" spans="1:8">
      <c r="A143" s="1" t="s">
        <v>530</v>
      </c>
      <c r="B143" s="1" t="s">
        <v>531</v>
      </c>
      <c r="C143" s="1" t="s">
        <v>10</v>
      </c>
      <c r="D143" s="1" t="s">
        <v>313</v>
      </c>
      <c r="E143" s="1">
        <v>7163</v>
      </c>
      <c r="F143" s="1">
        <v>5.2529935346168033</v>
      </c>
      <c r="G143" s="1">
        <v>1</v>
      </c>
      <c r="H143" s="1">
        <v>1</v>
      </c>
    </row>
    <row r="144" spans="1:8">
      <c r="A144" s="1" t="s">
        <v>33</v>
      </c>
      <c r="B144" s="1" t="s">
        <v>532</v>
      </c>
      <c r="C144" s="1" t="s">
        <v>10</v>
      </c>
      <c r="D144" s="1" t="s">
        <v>464</v>
      </c>
      <c r="E144" s="1">
        <v>322.2</v>
      </c>
      <c r="F144" s="1">
        <v>161.22124895711178</v>
      </c>
      <c r="G144" s="1">
        <v>6</v>
      </c>
      <c r="H144" s="1">
        <v>1</v>
      </c>
    </row>
    <row r="145" spans="1:8">
      <c r="A145" s="1" t="s">
        <v>37</v>
      </c>
      <c r="B145" s="1" t="s">
        <v>37</v>
      </c>
      <c r="C145" s="1" t="s">
        <v>10</v>
      </c>
      <c r="D145" s="1" t="s">
        <v>533</v>
      </c>
      <c r="E145" s="1">
        <v>60</v>
      </c>
      <c r="F145" s="1">
        <v>161.22124895711178</v>
      </c>
      <c r="G145" s="1">
        <v>4</v>
      </c>
      <c r="H145" s="1">
        <v>1</v>
      </c>
    </row>
    <row r="146" spans="1:8">
      <c r="A146" s="1" t="s">
        <v>45</v>
      </c>
      <c r="B146" s="1" t="s">
        <v>534</v>
      </c>
      <c r="C146" s="1" t="s">
        <v>10</v>
      </c>
      <c r="D146" s="1" t="s">
        <v>535</v>
      </c>
      <c r="E146" s="1"/>
      <c r="F146" s="1">
        <v>93.432191942566149</v>
      </c>
      <c r="G146" s="1">
        <v>5</v>
      </c>
      <c r="H146" s="1">
        <v>1</v>
      </c>
    </row>
    <row r="147" spans="1:8">
      <c r="A147" s="1" t="s">
        <v>536</v>
      </c>
      <c r="B147" s="1" t="s">
        <v>537</v>
      </c>
      <c r="C147" s="1" t="s">
        <v>10</v>
      </c>
      <c r="D147" s="1" t="s">
        <v>426</v>
      </c>
      <c r="E147" s="1"/>
      <c r="F147" s="1">
        <v>8.7369002659035608</v>
      </c>
      <c r="G147" s="1">
        <v>1</v>
      </c>
      <c r="H147" s="1">
        <v>2</v>
      </c>
    </row>
    <row r="148" spans="1:8">
      <c r="A148" s="1" t="s">
        <v>60</v>
      </c>
      <c r="B148" s="1" t="s">
        <v>60</v>
      </c>
      <c r="C148" s="1" t="s">
        <v>10</v>
      </c>
      <c r="D148" s="1" t="s">
        <v>538</v>
      </c>
      <c r="E148" s="1">
        <v>47.24</v>
      </c>
      <c r="F148" s="1">
        <v>161.22124895711178</v>
      </c>
      <c r="G148" s="1">
        <v>5</v>
      </c>
      <c r="H148" s="1">
        <v>3</v>
      </c>
    </row>
    <row r="149" spans="1:8">
      <c r="A149" s="1" t="s">
        <v>270</v>
      </c>
      <c r="B149" s="1" t="s">
        <v>539</v>
      </c>
      <c r="C149" s="1" t="s">
        <v>10</v>
      </c>
      <c r="D149" s="1" t="s">
        <v>540</v>
      </c>
      <c r="E149" s="1">
        <v>1</v>
      </c>
      <c r="F149" s="1">
        <v>82.547902033943757</v>
      </c>
      <c r="G149" s="1">
        <v>4</v>
      </c>
      <c r="H149" s="1">
        <v>1</v>
      </c>
    </row>
    <row r="150" spans="1:8">
      <c r="A150" s="1" t="s">
        <v>64</v>
      </c>
      <c r="B150" s="1" t="s">
        <v>541</v>
      </c>
      <c r="C150" s="1" t="s">
        <v>10</v>
      </c>
      <c r="D150" s="1" t="s">
        <v>313</v>
      </c>
      <c r="E150" s="1"/>
      <c r="F150" s="1">
        <v>5.2529935346168033</v>
      </c>
      <c r="G150" s="1">
        <v>1</v>
      </c>
      <c r="H150" s="1">
        <v>1</v>
      </c>
    </row>
    <row r="151" spans="1:8">
      <c r="A151" s="1" t="s">
        <v>542</v>
      </c>
      <c r="B151" s="1" t="s">
        <v>543</v>
      </c>
      <c r="C151" s="1" t="s">
        <v>10</v>
      </c>
      <c r="D151" s="1" t="s">
        <v>377</v>
      </c>
      <c r="E151" s="1"/>
      <c r="F151" s="1">
        <v>231.27734299174813</v>
      </c>
      <c r="G151" s="1">
        <v>5</v>
      </c>
      <c r="H151" s="1">
        <v>3</v>
      </c>
    </row>
    <row r="152" spans="1:8">
      <c r="A152" s="1" t="s">
        <v>544</v>
      </c>
      <c r="B152" s="1" t="s">
        <v>545</v>
      </c>
      <c r="C152" s="1" t="s">
        <v>10</v>
      </c>
      <c r="D152" s="1" t="s">
        <v>400</v>
      </c>
      <c r="E152" s="1"/>
      <c r="F152" s="1">
        <v>35.577304550758463</v>
      </c>
      <c r="G152" s="1">
        <v>2</v>
      </c>
      <c r="H152" s="1">
        <v>1</v>
      </c>
    </row>
    <row r="153" spans="1:8">
      <c r="A153" s="1" t="s">
        <v>98</v>
      </c>
      <c r="B153" s="1" t="s">
        <v>98</v>
      </c>
      <c r="C153" s="1" t="s">
        <v>10</v>
      </c>
      <c r="D153" s="1" t="s">
        <v>468</v>
      </c>
      <c r="E153" s="1"/>
      <c r="F153" s="1">
        <v>93.432191942566149</v>
      </c>
      <c r="G153" s="1">
        <v>5</v>
      </c>
      <c r="H153" s="1">
        <v>1</v>
      </c>
    </row>
    <row r="154" spans="1:8">
      <c r="A154" s="1" t="s">
        <v>14</v>
      </c>
      <c r="B154" s="1" t="s">
        <v>546</v>
      </c>
      <c r="C154" s="1" t="s">
        <v>10</v>
      </c>
      <c r="D154" s="1" t="s">
        <v>313</v>
      </c>
      <c r="E154" s="1"/>
      <c r="F154" s="1">
        <v>5.2529935346168033</v>
      </c>
      <c r="G154" s="1">
        <v>2</v>
      </c>
      <c r="H154" s="1">
        <v>1</v>
      </c>
    </row>
    <row r="155" spans="1:8">
      <c r="A155" s="1" t="s">
        <v>105</v>
      </c>
      <c r="B155" s="1" t="s">
        <v>547</v>
      </c>
      <c r="C155" s="1" t="s">
        <v>10</v>
      </c>
      <c r="D155" s="1" t="s">
        <v>326</v>
      </c>
      <c r="E155" s="1"/>
      <c r="F155" s="1">
        <v>100.84173741760144</v>
      </c>
      <c r="G155" s="1">
        <v>5</v>
      </c>
      <c r="H155" s="1">
        <v>2</v>
      </c>
    </row>
    <row r="156" spans="1:8">
      <c r="A156" s="1" t="s">
        <v>548</v>
      </c>
      <c r="B156" s="1" t="s">
        <v>549</v>
      </c>
      <c r="C156" s="1" t="s">
        <v>10</v>
      </c>
      <c r="D156" s="1" t="s">
        <v>313</v>
      </c>
      <c r="E156" s="1"/>
      <c r="F156" s="1">
        <v>5.2529935346168033</v>
      </c>
      <c r="G156" s="1">
        <v>1</v>
      </c>
      <c r="H156" s="1">
        <v>1</v>
      </c>
    </row>
    <row r="157" spans="1:8">
      <c r="A157" s="1" t="s">
        <v>550</v>
      </c>
      <c r="B157" s="1" t="s">
        <v>550</v>
      </c>
      <c r="C157" s="1" t="s">
        <v>10</v>
      </c>
      <c r="D157" s="1"/>
      <c r="E157" s="1"/>
      <c r="F157" s="1">
        <v>0.52436208073605961</v>
      </c>
      <c r="G157" s="1"/>
      <c r="H157" s="1"/>
    </row>
    <row r="158" spans="1:8">
      <c r="A158" s="1" t="s">
        <v>46</v>
      </c>
      <c r="B158" s="1" t="s">
        <v>551</v>
      </c>
      <c r="C158" s="1" t="s">
        <v>10</v>
      </c>
      <c r="D158" s="1" t="s">
        <v>468</v>
      </c>
      <c r="E158" s="1">
        <v>69</v>
      </c>
      <c r="F158" s="1">
        <v>161.22124895711178</v>
      </c>
      <c r="G158" s="1">
        <v>5</v>
      </c>
      <c r="H158" s="1">
        <v>1</v>
      </c>
    </row>
    <row r="159" spans="1:8">
      <c r="A159" s="1" t="s">
        <v>52</v>
      </c>
      <c r="B159" s="1" t="s">
        <v>552</v>
      </c>
      <c r="C159" s="1" t="s">
        <v>10</v>
      </c>
      <c r="D159" s="1" t="s">
        <v>326</v>
      </c>
      <c r="E159" s="1"/>
      <c r="F159" s="1"/>
      <c r="G159" s="1"/>
      <c r="H159" s="1">
        <v>2</v>
      </c>
    </row>
    <row r="160" spans="1:8">
      <c r="A160" s="1" t="s">
        <v>112</v>
      </c>
      <c r="B160" s="1" t="s">
        <v>553</v>
      </c>
      <c r="C160" s="1" t="s">
        <v>10</v>
      </c>
      <c r="D160" s="1" t="s">
        <v>554</v>
      </c>
      <c r="E160" s="1">
        <v>33.33</v>
      </c>
      <c r="F160" s="1">
        <v>161.22124895711178</v>
      </c>
      <c r="G160" s="1">
        <v>4</v>
      </c>
      <c r="H160" s="1">
        <v>1</v>
      </c>
    </row>
    <row r="161" spans="1:8">
      <c r="A161" s="1" t="s">
        <v>115</v>
      </c>
      <c r="B161" s="1" t="s">
        <v>555</v>
      </c>
      <c r="C161" s="1" t="s">
        <v>10</v>
      </c>
      <c r="D161" s="1" t="s">
        <v>556</v>
      </c>
      <c r="E161" s="1">
        <v>322.2</v>
      </c>
      <c r="F161" s="1">
        <v>161.22124895711178</v>
      </c>
      <c r="G161" s="1">
        <v>5</v>
      </c>
      <c r="H161" s="1">
        <v>1</v>
      </c>
    </row>
    <row r="162" spans="1:8">
      <c r="A162" s="1" t="s">
        <v>557</v>
      </c>
      <c r="B162" s="1" t="s">
        <v>558</v>
      </c>
      <c r="C162" s="1" t="s">
        <v>10</v>
      </c>
      <c r="D162" s="1" t="s">
        <v>559</v>
      </c>
      <c r="E162" s="1">
        <v>119</v>
      </c>
      <c r="F162" s="1">
        <v>4.3740045081721641</v>
      </c>
      <c r="G162" s="1">
        <v>2</v>
      </c>
      <c r="H162" s="1">
        <v>3</v>
      </c>
    </row>
    <row r="163" spans="1:8">
      <c r="A163" s="1" t="s">
        <v>560</v>
      </c>
      <c r="B163" s="1" t="s">
        <v>561</v>
      </c>
      <c r="C163" s="1" t="s">
        <v>10</v>
      </c>
      <c r="D163" s="1" t="s">
        <v>510</v>
      </c>
      <c r="E163" s="1"/>
      <c r="F163" s="1">
        <v>39.804818144216824</v>
      </c>
      <c r="G163" s="1">
        <v>3</v>
      </c>
      <c r="H163" s="1">
        <v>3</v>
      </c>
    </row>
    <row r="164" spans="1:8">
      <c r="A164" s="1" t="s">
        <v>125</v>
      </c>
      <c r="B164" s="1" t="s">
        <v>125</v>
      </c>
      <c r="C164" s="1" t="s">
        <v>10</v>
      </c>
      <c r="D164" s="1" t="s">
        <v>562</v>
      </c>
      <c r="E164" s="1"/>
      <c r="F164" s="1">
        <v>1.6623041356945802</v>
      </c>
      <c r="G164" s="1">
        <v>2</v>
      </c>
      <c r="H164" s="1"/>
    </row>
    <row r="165" spans="1:8">
      <c r="A165" s="1" t="s">
        <v>121</v>
      </c>
      <c r="B165" s="1" t="s">
        <v>563</v>
      </c>
      <c r="C165" s="1" t="s">
        <v>10</v>
      </c>
      <c r="D165" s="1" t="s">
        <v>313</v>
      </c>
      <c r="E165" s="1">
        <v>1</v>
      </c>
      <c r="F165" s="1">
        <v>5.2529935346168033</v>
      </c>
      <c r="G165" s="1">
        <v>2</v>
      </c>
      <c r="H165" s="1">
        <v>1</v>
      </c>
    </row>
    <row r="166" spans="1:8">
      <c r="A166" s="1" t="s">
        <v>131</v>
      </c>
      <c r="B166" s="1" t="s">
        <v>564</v>
      </c>
      <c r="C166" s="1" t="s">
        <v>10</v>
      </c>
      <c r="D166" s="1"/>
      <c r="E166" s="1"/>
      <c r="F166" s="1"/>
      <c r="G166" s="1"/>
      <c r="H166" s="1"/>
    </row>
    <row r="167" spans="1:8">
      <c r="A167" s="1" t="s">
        <v>144</v>
      </c>
      <c r="B167" s="1" t="s">
        <v>144</v>
      </c>
      <c r="C167" s="1" t="s">
        <v>10</v>
      </c>
      <c r="D167" s="1" t="s">
        <v>468</v>
      </c>
      <c r="E167" s="1">
        <v>226</v>
      </c>
      <c r="F167" s="1">
        <v>161.22124895711178</v>
      </c>
      <c r="G167" s="1">
        <v>5</v>
      </c>
      <c r="H167" s="1">
        <v>1</v>
      </c>
    </row>
    <row r="168" spans="1:8">
      <c r="A168" s="1" t="s">
        <v>147</v>
      </c>
      <c r="B168" s="1" t="s">
        <v>147</v>
      </c>
      <c r="C168" s="1" t="s">
        <v>10</v>
      </c>
      <c r="D168" s="1" t="s">
        <v>565</v>
      </c>
      <c r="E168" s="1"/>
      <c r="F168" s="1">
        <v>33.556172657747275</v>
      </c>
      <c r="G168" s="1">
        <v>5</v>
      </c>
      <c r="H168" s="1">
        <v>3</v>
      </c>
    </row>
    <row r="169" spans="1:8">
      <c r="A169" s="1" t="s">
        <v>156</v>
      </c>
      <c r="B169" s="1" t="s">
        <v>566</v>
      </c>
      <c r="C169" s="1" t="s">
        <v>10</v>
      </c>
      <c r="D169" s="1" t="s">
        <v>480</v>
      </c>
      <c r="E169" s="1">
        <v>2530</v>
      </c>
      <c r="F169" s="1">
        <v>451.40943607930217</v>
      </c>
      <c r="G169" s="1">
        <v>4</v>
      </c>
      <c r="H169" s="1">
        <v>1</v>
      </c>
    </row>
    <row r="170" spans="1:8">
      <c r="A170" s="1" t="s">
        <v>12</v>
      </c>
      <c r="B170" s="1" t="s">
        <v>567</v>
      </c>
      <c r="C170" s="1" t="s">
        <v>10</v>
      </c>
      <c r="D170" s="1" t="s">
        <v>568</v>
      </c>
      <c r="E170" s="1">
        <v>18</v>
      </c>
      <c r="F170" s="1">
        <v>552.21103030663323</v>
      </c>
      <c r="G170" s="1">
        <v>4</v>
      </c>
      <c r="H170" s="1">
        <v>1</v>
      </c>
    </row>
    <row r="171" spans="1:8">
      <c r="A171" s="1" t="s">
        <v>9</v>
      </c>
      <c r="B171" s="1" t="s">
        <v>569</v>
      </c>
      <c r="C171" s="1" t="s">
        <v>10</v>
      </c>
      <c r="D171" s="1" t="s">
        <v>570</v>
      </c>
      <c r="E171" s="1">
        <v>5488</v>
      </c>
      <c r="F171" s="1">
        <v>106.15677779056554</v>
      </c>
      <c r="G171" s="1">
        <v>4</v>
      </c>
      <c r="H171" s="1">
        <v>1</v>
      </c>
    </row>
    <row r="172" spans="1:8">
      <c r="A172" s="1" t="s">
        <v>43</v>
      </c>
      <c r="B172" s="1" t="s">
        <v>571</v>
      </c>
      <c r="C172" s="1" t="s">
        <v>10</v>
      </c>
      <c r="D172" s="1" t="s">
        <v>538</v>
      </c>
      <c r="E172" s="1">
        <v>47.24</v>
      </c>
      <c r="F172" s="1">
        <v>161.22124895711178</v>
      </c>
      <c r="G172" s="1">
        <v>5</v>
      </c>
      <c r="H172" s="1">
        <v>3</v>
      </c>
    </row>
    <row r="173" spans="1:8">
      <c r="A173" s="1" t="s">
        <v>88</v>
      </c>
      <c r="B173" s="1" t="s">
        <v>572</v>
      </c>
      <c r="C173" s="1" t="s">
        <v>10</v>
      </c>
      <c r="D173" s="1" t="s">
        <v>464</v>
      </c>
      <c r="E173" s="1">
        <v>7</v>
      </c>
      <c r="F173" s="1">
        <v>39.892313689077326</v>
      </c>
      <c r="G173" s="1">
        <v>5</v>
      </c>
      <c r="H173" s="1">
        <v>3</v>
      </c>
    </row>
    <row r="174" spans="1:8">
      <c r="A174" s="1" t="s">
        <v>138</v>
      </c>
      <c r="B174" s="1" t="s">
        <v>573</v>
      </c>
      <c r="C174" s="1" t="s">
        <v>10</v>
      </c>
      <c r="D174" s="1" t="s">
        <v>574</v>
      </c>
      <c r="E174" s="1"/>
      <c r="F174" s="1">
        <v>56.27</v>
      </c>
      <c r="G174" s="1">
        <v>5</v>
      </c>
      <c r="H174" s="1">
        <v>2</v>
      </c>
    </row>
    <row r="175" spans="1:8">
      <c r="A175" s="1" t="s">
        <v>149</v>
      </c>
      <c r="B175" s="1" t="s">
        <v>575</v>
      </c>
      <c r="C175" s="1" t="s">
        <v>10</v>
      </c>
      <c r="D175" s="1" t="s">
        <v>464</v>
      </c>
      <c r="E175" s="1">
        <v>2040</v>
      </c>
      <c r="F175" s="1">
        <v>242.66493044089697</v>
      </c>
      <c r="G175" s="1">
        <v>6</v>
      </c>
      <c r="H175" s="1">
        <v>1</v>
      </c>
    </row>
    <row r="176" spans="1:8">
      <c r="A176" s="1" t="s">
        <v>174</v>
      </c>
      <c r="B176" s="1" t="s">
        <v>576</v>
      </c>
      <c r="C176" s="1" t="s">
        <v>10</v>
      </c>
      <c r="D176" s="1" t="s">
        <v>431</v>
      </c>
      <c r="E176" s="1">
        <v>190</v>
      </c>
      <c r="F176" s="1">
        <v>67.20102998995668</v>
      </c>
      <c r="G176" s="1">
        <v>4</v>
      </c>
      <c r="H176" s="1">
        <v>1</v>
      </c>
    </row>
    <row r="177" spans="1:8">
      <c r="A177" s="1" t="s">
        <v>158</v>
      </c>
      <c r="B177" s="1" t="s">
        <v>577</v>
      </c>
      <c r="C177" s="1" t="s">
        <v>10</v>
      </c>
      <c r="D177" s="1" t="s">
        <v>377</v>
      </c>
      <c r="E177" s="1"/>
      <c r="F177" s="1">
        <v>0</v>
      </c>
      <c r="G177" s="1">
        <v>3</v>
      </c>
      <c r="H177" s="1">
        <v>3</v>
      </c>
    </row>
    <row r="178" spans="1:8">
      <c r="A178" s="1" t="s">
        <v>188</v>
      </c>
      <c r="B178" s="1" t="s">
        <v>578</v>
      </c>
      <c r="C178" s="1" t="s">
        <v>10</v>
      </c>
      <c r="D178" s="1" t="s">
        <v>326</v>
      </c>
      <c r="E178" s="1">
        <v>440.3</v>
      </c>
      <c r="F178" s="1">
        <v>161.22124895711178</v>
      </c>
      <c r="G178" s="1">
        <v>5</v>
      </c>
      <c r="H178" s="1">
        <v>2</v>
      </c>
    </row>
    <row r="179" spans="1:8">
      <c r="A179" s="1" t="s">
        <v>198</v>
      </c>
      <c r="B179" s="1" t="s">
        <v>579</v>
      </c>
      <c r="C179" s="1" t="s">
        <v>10</v>
      </c>
      <c r="D179" s="1" t="s">
        <v>332</v>
      </c>
      <c r="E179" s="1">
        <v>3338</v>
      </c>
      <c r="F179" s="1">
        <v>26.923059640233603</v>
      </c>
      <c r="G179" s="1">
        <v>4</v>
      </c>
      <c r="H179" s="1">
        <v>3</v>
      </c>
    </row>
    <row r="180" spans="1:8">
      <c r="A180" s="1" t="s">
        <v>243</v>
      </c>
      <c r="B180" s="1" t="s">
        <v>580</v>
      </c>
      <c r="C180" s="1" t="s">
        <v>10</v>
      </c>
      <c r="D180" s="1" t="s">
        <v>326</v>
      </c>
      <c r="E180" s="1">
        <v>440.3</v>
      </c>
      <c r="F180" s="1">
        <v>161.22124895711178</v>
      </c>
      <c r="G180" s="1">
        <v>5</v>
      </c>
      <c r="H180" s="1">
        <v>2</v>
      </c>
    </row>
    <row r="181" spans="1:8">
      <c r="A181" s="1" t="s">
        <v>245</v>
      </c>
      <c r="B181" s="1" t="s">
        <v>581</v>
      </c>
      <c r="C181" s="1" t="s">
        <v>10</v>
      </c>
      <c r="D181" s="1" t="s">
        <v>334</v>
      </c>
      <c r="E181" s="1">
        <v>26</v>
      </c>
      <c r="F181" s="1"/>
      <c r="G181" s="1"/>
      <c r="H181" s="1">
        <v>1</v>
      </c>
    </row>
    <row r="182" spans="1:8">
      <c r="A182" s="1" t="s">
        <v>247</v>
      </c>
      <c r="B182" s="1" t="s">
        <v>582</v>
      </c>
      <c r="C182" s="1" t="s">
        <v>10</v>
      </c>
      <c r="D182" s="1" t="s">
        <v>330</v>
      </c>
      <c r="E182" s="1"/>
      <c r="F182" s="1">
        <v>31.904827005966556</v>
      </c>
      <c r="G182" s="1">
        <v>4</v>
      </c>
      <c r="H182" s="1">
        <v>1</v>
      </c>
    </row>
    <row r="183" spans="1:8">
      <c r="A183" s="1" t="s">
        <v>176</v>
      </c>
      <c r="B183" s="1" t="s">
        <v>176</v>
      </c>
      <c r="C183" s="1" t="s">
        <v>10</v>
      </c>
      <c r="D183" s="1" t="s">
        <v>522</v>
      </c>
      <c r="E183" s="1">
        <v>13</v>
      </c>
      <c r="F183" s="1">
        <v>648.16097876466279</v>
      </c>
      <c r="G183" s="1">
        <v>5</v>
      </c>
      <c r="H183" s="1">
        <v>3</v>
      </c>
    </row>
    <row r="184" spans="1:8">
      <c r="A184" s="1" t="s">
        <v>182</v>
      </c>
      <c r="B184" s="1" t="s">
        <v>583</v>
      </c>
      <c r="C184" s="1" t="s">
        <v>10</v>
      </c>
      <c r="D184" s="1" t="s">
        <v>313</v>
      </c>
      <c r="E184" s="1"/>
      <c r="F184" s="1">
        <v>5.2529935346168033</v>
      </c>
      <c r="G184" s="1">
        <v>2</v>
      </c>
      <c r="H184" s="1">
        <v>1</v>
      </c>
    </row>
    <row r="185" spans="1:8">
      <c r="A185" s="1" t="s">
        <v>200</v>
      </c>
      <c r="B185" s="1" t="s">
        <v>584</v>
      </c>
      <c r="C185" s="1" t="s">
        <v>10</v>
      </c>
      <c r="D185" s="1"/>
      <c r="E185" s="1"/>
      <c r="F185" s="1">
        <v>64.358947526679671</v>
      </c>
      <c r="G185" s="1"/>
      <c r="H185" s="1"/>
    </row>
    <row r="186" spans="1:8">
      <c r="A186" s="1" t="s">
        <v>213</v>
      </c>
      <c r="B186" s="1" t="s">
        <v>585</v>
      </c>
      <c r="C186" s="1" t="s">
        <v>10</v>
      </c>
      <c r="D186" s="1" t="s">
        <v>320</v>
      </c>
      <c r="E186" s="1">
        <v>17</v>
      </c>
      <c r="F186" s="1">
        <v>2836.9473133809042</v>
      </c>
      <c r="G186" s="1">
        <v>4</v>
      </c>
      <c r="H186" s="1">
        <v>3</v>
      </c>
    </row>
    <row r="187" spans="1:8">
      <c r="A187" s="1" t="s">
        <v>217</v>
      </c>
      <c r="B187" s="1" t="s">
        <v>586</v>
      </c>
      <c r="C187" s="1" t="s">
        <v>10</v>
      </c>
      <c r="D187" s="1" t="s">
        <v>587</v>
      </c>
      <c r="E187" s="1">
        <v>47.24</v>
      </c>
      <c r="F187" s="1">
        <v>161.22124895711178</v>
      </c>
      <c r="G187" s="1">
        <v>4</v>
      </c>
      <c r="H187" s="1">
        <v>1</v>
      </c>
    </row>
    <row r="188" spans="1:8">
      <c r="A188" s="1" t="s">
        <v>219</v>
      </c>
      <c r="B188" s="1" t="s">
        <v>588</v>
      </c>
      <c r="C188" s="1" t="s">
        <v>10</v>
      </c>
      <c r="D188" s="1" t="s">
        <v>589</v>
      </c>
      <c r="E188" s="1">
        <v>47.24</v>
      </c>
      <c r="F188" s="1">
        <v>93.432191942566149</v>
      </c>
      <c r="G188" s="1">
        <v>4</v>
      </c>
      <c r="H188" s="1">
        <v>1</v>
      </c>
    </row>
    <row r="189" spans="1:8">
      <c r="A189" s="1" t="s">
        <v>229</v>
      </c>
      <c r="B189" s="1" t="s">
        <v>590</v>
      </c>
      <c r="C189" s="1" t="s">
        <v>10</v>
      </c>
      <c r="D189" s="1" t="s">
        <v>591</v>
      </c>
      <c r="E189" s="1">
        <v>47.24</v>
      </c>
      <c r="F189" s="1">
        <v>161.22124895711178</v>
      </c>
      <c r="G189" s="1">
        <v>4</v>
      </c>
      <c r="H189" s="1">
        <v>1</v>
      </c>
    </row>
    <row r="190" spans="1:8">
      <c r="A190" s="1" t="s">
        <v>231</v>
      </c>
      <c r="B190" s="1" t="s">
        <v>592</v>
      </c>
      <c r="C190" s="1" t="s">
        <v>10</v>
      </c>
      <c r="D190" s="1" t="s">
        <v>468</v>
      </c>
      <c r="E190" s="1"/>
      <c r="F190" s="1">
        <v>161.22124895711178</v>
      </c>
      <c r="G190" s="1">
        <v>5</v>
      </c>
      <c r="H190" s="1"/>
    </row>
    <row r="191" spans="1:8">
      <c r="A191" s="1" t="s">
        <v>254</v>
      </c>
      <c r="B191" s="1" t="s">
        <v>254</v>
      </c>
      <c r="C191" s="1" t="s">
        <v>10</v>
      </c>
      <c r="D191" s="1" t="s">
        <v>466</v>
      </c>
      <c r="E191" s="1">
        <v>322.2</v>
      </c>
      <c r="F191" s="1">
        <v>161.22124895711178</v>
      </c>
      <c r="G191" s="1">
        <v>6</v>
      </c>
      <c r="H191" s="1">
        <v>1</v>
      </c>
    </row>
    <row r="192" spans="1:8">
      <c r="A192" s="1" t="s">
        <v>593</v>
      </c>
      <c r="B192" s="1" t="s">
        <v>593</v>
      </c>
      <c r="C192" s="1" t="s">
        <v>10</v>
      </c>
      <c r="D192" s="1" t="s">
        <v>594</v>
      </c>
      <c r="E192" s="1"/>
      <c r="F192" s="1">
        <v>161.22124895711178</v>
      </c>
      <c r="G192" s="1">
        <v>4</v>
      </c>
      <c r="H192" s="1">
        <v>1</v>
      </c>
    </row>
    <row r="193" spans="1:8">
      <c r="A193" s="1" t="s">
        <v>258</v>
      </c>
      <c r="B193" s="1" t="s">
        <v>595</v>
      </c>
      <c r="C193" s="1" t="s">
        <v>10</v>
      </c>
      <c r="D193" s="1"/>
      <c r="E193" s="1"/>
      <c r="F193" s="1">
        <v>161.22124895711178</v>
      </c>
      <c r="G193" s="1"/>
      <c r="H193" s="1"/>
    </row>
    <row r="194" spans="1:8">
      <c r="A194" s="1" t="s">
        <v>272</v>
      </c>
      <c r="B194" s="1" t="s">
        <v>272</v>
      </c>
      <c r="C194" s="1" t="s">
        <v>10</v>
      </c>
      <c r="D194" s="1" t="s">
        <v>468</v>
      </c>
      <c r="E194" s="1">
        <v>9</v>
      </c>
      <c r="F194" s="1">
        <v>161.22124895711178</v>
      </c>
      <c r="G194" s="1">
        <v>5</v>
      </c>
      <c r="H194" s="1">
        <v>1</v>
      </c>
    </row>
    <row r="195" spans="1:8">
      <c r="A195" s="1" t="s">
        <v>273</v>
      </c>
      <c r="B195" s="1" t="s">
        <v>273</v>
      </c>
      <c r="C195" s="1" t="s">
        <v>10</v>
      </c>
      <c r="D195" s="1" t="s">
        <v>468</v>
      </c>
      <c r="E195" s="1">
        <v>18</v>
      </c>
      <c r="F195" s="1">
        <v>161.22124895711178</v>
      </c>
      <c r="G195" s="1">
        <v>5</v>
      </c>
      <c r="H195" s="1">
        <v>1</v>
      </c>
    </row>
    <row r="196" spans="1:8">
      <c r="A196" s="1" t="s">
        <v>283</v>
      </c>
      <c r="B196" s="1" t="s">
        <v>283</v>
      </c>
      <c r="C196" s="1" t="s">
        <v>10</v>
      </c>
      <c r="D196" s="1"/>
      <c r="E196" s="1"/>
      <c r="F196" s="1"/>
      <c r="G196" s="1"/>
      <c r="H196" s="1"/>
    </row>
    <row r="197" spans="1:8">
      <c r="A197" s="1" t="s">
        <v>284</v>
      </c>
      <c r="B197" s="1" t="s">
        <v>284</v>
      </c>
      <c r="C197" s="1" t="s">
        <v>10</v>
      </c>
      <c r="D197" s="1" t="s">
        <v>468</v>
      </c>
      <c r="E197" s="1"/>
      <c r="F197" s="1">
        <v>161.22124895711178</v>
      </c>
      <c r="G197" s="1">
        <v>5</v>
      </c>
      <c r="H197" s="1">
        <v>1</v>
      </c>
    </row>
    <row r="198" spans="1:8">
      <c r="A198" s="1" t="s">
        <v>596</v>
      </c>
      <c r="B198" s="1" t="s">
        <v>597</v>
      </c>
      <c r="C198" s="1" t="s">
        <v>10</v>
      </c>
      <c r="D198" s="1" t="s">
        <v>510</v>
      </c>
      <c r="E198" s="1">
        <v>1</v>
      </c>
      <c r="F198" s="1">
        <v>556.00268914420349</v>
      </c>
      <c r="G198" s="1">
        <v>4</v>
      </c>
      <c r="H198" s="1">
        <v>3</v>
      </c>
    </row>
    <row r="199" spans="1:8">
      <c r="A199" s="1" t="s">
        <v>287</v>
      </c>
      <c r="B199" s="1" t="s">
        <v>287</v>
      </c>
      <c r="C199" s="1" t="s">
        <v>10</v>
      </c>
      <c r="D199" s="1"/>
      <c r="E199" s="1"/>
      <c r="F199" s="1"/>
      <c r="G199" s="1"/>
      <c r="H199" s="1"/>
    </row>
    <row r="200" spans="1:8">
      <c r="A200" s="1" t="s">
        <v>56</v>
      </c>
      <c r="B200" s="1" t="s">
        <v>598</v>
      </c>
      <c r="C200" s="1" t="s">
        <v>20</v>
      </c>
      <c r="D200" s="1" t="s">
        <v>599</v>
      </c>
      <c r="E200" s="1">
        <v>20.49</v>
      </c>
      <c r="F200" s="1">
        <v>200</v>
      </c>
      <c r="G200" s="1">
        <v>3</v>
      </c>
      <c r="H200" s="1">
        <v>1</v>
      </c>
    </row>
    <row r="201" spans="1:8">
      <c r="A201" s="1" t="s">
        <v>94</v>
      </c>
      <c r="B201" s="1" t="s">
        <v>600</v>
      </c>
      <c r="C201" s="1" t="s">
        <v>20</v>
      </c>
      <c r="D201" s="1" t="s">
        <v>601</v>
      </c>
      <c r="E201" s="1"/>
      <c r="F201" s="1">
        <v>100.79047705176647</v>
      </c>
      <c r="G201" s="1">
        <v>4</v>
      </c>
      <c r="H201" s="1">
        <v>1</v>
      </c>
    </row>
    <row r="202" spans="1:8">
      <c r="A202" s="1" t="s">
        <v>107</v>
      </c>
      <c r="B202" s="1" t="s">
        <v>107</v>
      </c>
      <c r="C202" s="1" t="s">
        <v>20</v>
      </c>
      <c r="D202" s="1" t="s">
        <v>377</v>
      </c>
      <c r="E202" s="1">
        <v>237</v>
      </c>
      <c r="F202" s="1">
        <v>80.319051204101015</v>
      </c>
      <c r="G202" s="1">
        <v>6</v>
      </c>
      <c r="H202" s="1">
        <v>3</v>
      </c>
    </row>
    <row r="203" spans="1:8">
      <c r="A203" s="1" t="s">
        <v>132</v>
      </c>
      <c r="B203" s="1" t="s">
        <v>132</v>
      </c>
      <c r="C203" s="1" t="s">
        <v>20</v>
      </c>
      <c r="D203" s="1" t="s">
        <v>500</v>
      </c>
      <c r="E203" s="1">
        <v>124.38</v>
      </c>
      <c r="F203" s="1">
        <v>200</v>
      </c>
      <c r="G203" s="1">
        <v>4</v>
      </c>
      <c r="H203" s="1">
        <v>3</v>
      </c>
    </row>
    <row r="204" spans="1:8">
      <c r="A204" s="1" t="s">
        <v>19</v>
      </c>
      <c r="B204" s="1" t="s">
        <v>602</v>
      </c>
      <c r="C204" s="1" t="s">
        <v>20</v>
      </c>
      <c r="D204" s="1" t="s">
        <v>350</v>
      </c>
      <c r="E204" s="1"/>
      <c r="F204" s="1">
        <v>217.8898459511226</v>
      </c>
      <c r="G204" s="1">
        <v>4</v>
      </c>
      <c r="H204" s="1">
        <v>1</v>
      </c>
    </row>
    <row r="205" spans="1:8">
      <c r="A205" s="1" t="s">
        <v>216</v>
      </c>
      <c r="B205" s="1" t="s">
        <v>603</v>
      </c>
      <c r="C205" s="1" t="s">
        <v>20</v>
      </c>
      <c r="D205" s="1" t="s">
        <v>326</v>
      </c>
      <c r="E205" s="1"/>
      <c r="F205" s="1"/>
      <c r="G205" s="1"/>
      <c r="H205" s="1">
        <v>2</v>
      </c>
    </row>
    <row r="206" spans="1:8">
      <c r="A206" s="1" t="s">
        <v>215</v>
      </c>
      <c r="B206" s="1" t="s">
        <v>215</v>
      </c>
      <c r="C206" s="1" t="s">
        <v>20</v>
      </c>
      <c r="D206" s="1"/>
      <c r="E206" s="1"/>
      <c r="F206" s="1">
        <v>3.1737215953354062E-2</v>
      </c>
      <c r="G206" s="1"/>
      <c r="H206" s="1"/>
    </row>
    <row r="207" spans="1:8">
      <c r="A207" s="1" t="s">
        <v>221</v>
      </c>
      <c r="B207" s="1" t="s">
        <v>604</v>
      </c>
      <c r="C207" s="1" t="s">
        <v>20</v>
      </c>
      <c r="D207" s="1" t="s">
        <v>500</v>
      </c>
      <c r="E207" s="1"/>
      <c r="F207" s="1">
        <v>200</v>
      </c>
      <c r="G207" s="1">
        <v>4</v>
      </c>
      <c r="H207" s="1">
        <v>3</v>
      </c>
    </row>
    <row r="208" spans="1:8">
      <c r="A208" s="1" t="s">
        <v>223</v>
      </c>
      <c r="B208" s="1" t="s">
        <v>223</v>
      </c>
      <c r="C208" s="1" t="s">
        <v>20</v>
      </c>
      <c r="D208" s="1" t="s">
        <v>605</v>
      </c>
      <c r="E208" s="1">
        <v>31.18</v>
      </c>
      <c r="F208" s="1">
        <v>200</v>
      </c>
      <c r="G208" s="1">
        <v>4</v>
      </c>
      <c r="H208" s="1">
        <v>1</v>
      </c>
    </row>
    <row r="209" spans="1:8">
      <c r="A209" s="1" t="s">
        <v>225</v>
      </c>
      <c r="B209" s="1" t="s">
        <v>225</v>
      </c>
      <c r="C209" s="1" t="s">
        <v>20</v>
      </c>
      <c r="D209" s="1" t="s">
        <v>510</v>
      </c>
      <c r="E209" s="1">
        <v>10</v>
      </c>
      <c r="F209" s="1">
        <v>200</v>
      </c>
      <c r="G209" s="1">
        <v>4</v>
      </c>
      <c r="H209" s="1">
        <v>3</v>
      </c>
    </row>
    <row r="210" spans="1:8">
      <c r="A210" s="1" t="s">
        <v>227</v>
      </c>
      <c r="B210" s="1" t="s">
        <v>227</v>
      </c>
      <c r="C210" s="1" t="s">
        <v>20</v>
      </c>
      <c r="D210" s="1" t="s">
        <v>464</v>
      </c>
      <c r="E210" s="1"/>
      <c r="F210" s="1">
        <v>200</v>
      </c>
      <c r="G210" s="1">
        <v>5</v>
      </c>
      <c r="H210" s="1">
        <v>1</v>
      </c>
    </row>
    <row r="211" spans="1:8">
      <c r="A211" s="1" t="s">
        <v>232</v>
      </c>
      <c r="B211" s="1" t="s">
        <v>606</v>
      </c>
      <c r="C211" s="1" t="s">
        <v>20</v>
      </c>
      <c r="D211" s="1" t="s">
        <v>498</v>
      </c>
      <c r="E211" s="1">
        <v>630.6</v>
      </c>
      <c r="F211" s="1">
        <v>12.527234689481087</v>
      </c>
      <c r="G211" s="1">
        <v>1</v>
      </c>
      <c r="H211" s="1">
        <v>1</v>
      </c>
    </row>
    <row r="212" spans="1:8">
      <c r="A212" s="1" t="s">
        <v>250</v>
      </c>
      <c r="B212" s="1" t="s">
        <v>607</v>
      </c>
      <c r="C212" s="1" t="s">
        <v>20</v>
      </c>
      <c r="D212" s="1" t="s">
        <v>320</v>
      </c>
      <c r="E212" s="1"/>
      <c r="F212" s="1">
        <v>1864.30255997415</v>
      </c>
      <c r="G212" s="1">
        <v>4</v>
      </c>
      <c r="H212" s="1">
        <v>3</v>
      </c>
    </row>
    <row r="213" spans="1:8">
      <c r="A213" s="1" t="s">
        <v>252</v>
      </c>
      <c r="B213" s="1" t="s">
        <v>252</v>
      </c>
      <c r="C213" s="1" t="s">
        <v>20</v>
      </c>
      <c r="D213" s="1"/>
      <c r="E213" s="1"/>
      <c r="F213" s="1">
        <v>3.1737215953354062E-2</v>
      </c>
      <c r="G213" s="1"/>
      <c r="H213" s="1"/>
    </row>
    <row r="214" spans="1:8">
      <c r="A214" s="1" t="s">
        <v>256</v>
      </c>
      <c r="B214" s="1" t="s">
        <v>256</v>
      </c>
      <c r="C214" s="1" t="s">
        <v>20</v>
      </c>
      <c r="D214" s="1" t="s">
        <v>608</v>
      </c>
      <c r="E214" s="1">
        <v>42.73</v>
      </c>
      <c r="F214" s="1">
        <v>200</v>
      </c>
      <c r="G214" s="1">
        <v>3</v>
      </c>
      <c r="H214" s="1">
        <v>1</v>
      </c>
    </row>
    <row r="215" spans="1:8">
      <c r="A215" s="1" t="s">
        <v>609</v>
      </c>
      <c r="B215" s="1" t="s">
        <v>610</v>
      </c>
      <c r="C215" s="1" t="s">
        <v>20</v>
      </c>
      <c r="D215" s="1" t="s">
        <v>611</v>
      </c>
      <c r="E215" s="1">
        <v>230</v>
      </c>
      <c r="F215" s="1">
        <v>129.854341510739</v>
      </c>
      <c r="G215" s="1">
        <v>4</v>
      </c>
      <c r="H215" s="1">
        <v>1</v>
      </c>
    </row>
    <row r="216" spans="1:8">
      <c r="A216" s="1" t="s">
        <v>612</v>
      </c>
      <c r="B216" s="1" t="s">
        <v>613</v>
      </c>
      <c r="C216" s="1" t="s">
        <v>20</v>
      </c>
      <c r="D216" s="1" t="s">
        <v>614</v>
      </c>
      <c r="E216" s="1">
        <v>427</v>
      </c>
      <c r="F216" s="1">
        <v>688.50801270442935</v>
      </c>
      <c r="G216" s="1">
        <v>5</v>
      </c>
      <c r="H216" s="1">
        <v>1</v>
      </c>
    </row>
    <row r="217" spans="1:8">
      <c r="A217" s="1" t="s">
        <v>279</v>
      </c>
      <c r="B217" s="1" t="s">
        <v>615</v>
      </c>
      <c r="C217" s="1" t="s">
        <v>20</v>
      </c>
      <c r="D217" s="1" t="s">
        <v>616</v>
      </c>
      <c r="E217" s="1">
        <v>1539</v>
      </c>
      <c r="F217" s="1">
        <v>2459.96135682262</v>
      </c>
      <c r="G217" s="1">
        <v>5</v>
      </c>
      <c r="H217" s="1">
        <v>3</v>
      </c>
    </row>
    <row r="218" spans="1:8">
      <c r="A218" s="1" t="s">
        <v>286</v>
      </c>
      <c r="B218" s="1" t="s">
        <v>617</v>
      </c>
      <c r="C218" s="1" t="s">
        <v>20</v>
      </c>
      <c r="D218" s="1" t="s">
        <v>468</v>
      </c>
      <c r="E218" s="1"/>
      <c r="F218" s="1">
        <v>100.79047705176647</v>
      </c>
      <c r="G218" s="1">
        <v>5</v>
      </c>
      <c r="H218" s="1">
        <v>1</v>
      </c>
    </row>
    <row r="219" spans="1:8">
      <c r="A219" s="1" t="s">
        <v>190</v>
      </c>
      <c r="B219" s="1" t="s">
        <v>618</v>
      </c>
      <c r="C219" s="1" t="s">
        <v>20</v>
      </c>
      <c r="D219" s="1" t="s">
        <v>480</v>
      </c>
      <c r="E219" s="1">
        <v>530</v>
      </c>
      <c r="F219" s="1"/>
      <c r="G219" s="1"/>
      <c r="H219" s="1">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182F9-926E-2B47-96EB-038D8B6E1408}">
  <dimension ref="A1:C19"/>
  <sheetViews>
    <sheetView workbookViewId="0">
      <selection activeCell="E19" sqref="E19"/>
    </sheetView>
  </sheetViews>
  <sheetFormatPr defaultColWidth="11.5546875" defaultRowHeight="14.4"/>
  <sheetData>
    <row r="1" spans="1:3" ht="109.8" thickBot="1">
      <c r="A1" s="9" t="s">
        <v>971</v>
      </c>
      <c r="B1" s="10" t="s">
        <v>972</v>
      </c>
      <c r="C1" s="10" t="s">
        <v>973</v>
      </c>
    </row>
    <row r="2" spans="1:3" ht="16.2" thickBot="1">
      <c r="A2" s="11" t="s">
        <v>974</v>
      </c>
      <c r="B2" s="12" t="s">
        <v>975</v>
      </c>
      <c r="C2" s="12">
        <v>1</v>
      </c>
    </row>
    <row r="3" spans="1:3" ht="16.2" thickBot="1">
      <c r="A3" s="11" t="s">
        <v>976</v>
      </c>
      <c r="B3" s="12" t="s">
        <v>977</v>
      </c>
      <c r="C3" s="12">
        <v>4</v>
      </c>
    </row>
    <row r="4" spans="1:3" ht="16.2" thickBot="1">
      <c r="A4" s="11" t="s">
        <v>978</v>
      </c>
      <c r="B4" s="12" t="s">
        <v>979</v>
      </c>
      <c r="C4" s="12">
        <v>3</v>
      </c>
    </row>
    <row r="5" spans="1:3" ht="16.2" thickBot="1">
      <c r="A5" s="11" t="s">
        <v>980</v>
      </c>
      <c r="B5" s="12" t="s">
        <v>981</v>
      </c>
      <c r="C5" s="12">
        <v>3</v>
      </c>
    </row>
    <row r="6" spans="1:3" ht="16.2" thickBot="1">
      <c r="A6" s="11" t="s">
        <v>982</v>
      </c>
      <c r="B6" s="13">
        <v>2632</v>
      </c>
      <c r="C6" s="12">
        <v>3</v>
      </c>
    </row>
    <row r="7" spans="1:3" ht="16.2" thickBot="1">
      <c r="A7" s="11" t="s">
        <v>983</v>
      </c>
      <c r="B7" s="12" t="s">
        <v>984</v>
      </c>
      <c r="C7" s="12">
        <v>1</v>
      </c>
    </row>
    <row r="8" spans="1:3" ht="16.2" thickBot="1">
      <c r="A8" s="11" t="s">
        <v>985</v>
      </c>
      <c r="B8" s="12" t="s">
        <v>986</v>
      </c>
      <c r="C8" s="12">
        <v>1</v>
      </c>
    </row>
    <row r="9" spans="1:3" ht="16.2" thickBot="1">
      <c r="A9" s="11" t="s">
        <v>987</v>
      </c>
      <c r="B9" s="12" t="s">
        <v>988</v>
      </c>
      <c r="C9" s="12">
        <v>2</v>
      </c>
    </row>
    <row r="10" spans="1:3" ht="16.2" thickBot="1">
      <c r="A10" s="11" t="s">
        <v>989</v>
      </c>
      <c r="B10" s="13">
        <v>1167</v>
      </c>
      <c r="C10" s="12">
        <v>1</v>
      </c>
    </row>
    <row r="11" spans="1:3" ht="16.2" thickBot="1">
      <c r="A11" s="11" t="s">
        <v>990</v>
      </c>
      <c r="B11" s="12" t="s">
        <v>991</v>
      </c>
      <c r="C11" s="12">
        <v>1</v>
      </c>
    </row>
    <row r="12" spans="1:3" ht="16.2" thickBot="1">
      <c r="A12" s="14" t="s">
        <v>992</v>
      </c>
      <c r="B12" s="12"/>
      <c r="C12" s="12"/>
    </row>
    <row r="13" spans="1:3" ht="16.2" thickBot="1">
      <c r="A13" s="227" t="s">
        <v>993</v>
      </c>
      <c r="B13" s="228"/>
      <c r="C13" s="229"/>
    </row>
    <row r="14" spans="1:3" ht="16.2" thickBot="1">
      <c r="A14" s="11" t="s">
        <v>994</v>
      </c>
      <c r="B14" s="12" t="s">
        <v>995</v>
      </c>
      <c r="C14" s="15"/>
    </row>
    <row r="15" spans="1:3" ht="16.2" thickBot="1">
      <c r="A15" s="11" t="s">
        <v>996</v>
      </c>
      <c r="B15" s="12" t="s">
        <v>997</v>
      </c>
      <c r="C15" s="15"/>
    </row>
    <row r="16" spans="1:3" ht="16.2" thickBot="1">
      <c r="A16" s="11" t="s">
        <v>998</v>
      </c>
      <c r="B16" s="12" t="s">
        <v>999</v>
      </c>
      <c r="C16" s="15"/>
    </row>
    <row r="17" spans="1:3" ht="16.2" thickBot="1">
      <c r="A17" s="11" t="s">
        <v>1000</v>
      </c>
      <c r="B17" s="12" t="s">
        <v>1001</v>
      </c>
      <c r="C17" s="15"/>
    </row>
    <row r="18" spans="1:3" ht="16.2" thickBot="1">
      <c r="A18" s="11" t="s">
        <v>1002</v>
      </c>
      <c r="B18" s="12" t="s">
        <v>1003</v>
      </c>
      <c r="C18" s="15"/>
    </row>
    <row r="19" spans="1:3" ht="16.2" thickBot="1">
      <c r="A19" s="11" t="s">
        <v>1004</v>
      </c>
      <c r="B19" s="12" t="s">
        <v>1005</v>
      </c>
      <c r="C19" s="15"/>
    </row>
  </sheetData>
  <mergeCells count="1">
    <mergeCell ref="A13:C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6E46-1547-D648-A9AE-CE413E51050D}">
  <dimension ref="A1:B274"/>
  <sheetViews>
    <sheetView topLeftCell="A113" workbookViewId="0">
      <selection activeCell="A119" sqref="A119"/>
    </sheetView>
  </sheetViews>
  <sheetFormatPr defaultColWidth="11.5546875" defaultRowHeight="14.4"/>
  <cols>
    <col min="1" max="1" width="43.6640625" style="1" customWidth="1"/>
    <col min="2" max="2" width="16.6640625" style="1" customWidth="1"/>
  </cols>
  <sheetData>
    <row r="1" spans="1:2" ht="47.4" thickBot="1">
      <c r="A1" s="5" t="s">
        <v>620</v>
      </c>
      <c r="B1" s="5" t="s">
        <v>619</v>
      </c>
    </row>
    <row r="2" spans="1:2" ht="28.8">
      <c r="A2" s="2" t="s">
        <v>322</v>
      </c>
      <c r="B2" s="1" t="s">
        <v>621</v>
      </c>
    </row>
    <row r="3" spans="1:2" ht="43.2">
      <c r="A3" s="2" t="s">
        <v>331</v>
      </c>
      <c r="B3" s="1" t="s">
        <v>622</v>
      </c>
    </row>
    <row r="4" spans="1:2" ht="43.2">
      <c r="A4" s="2" t="s">
        <v>376</v>
      </c>
      <c r="B4" s="1" t="s">
        <v>623</v>
      </c>
    </row>
    <row r="5" spans="1:2" ht="28.8">
      <c r="A5" s="2" t="s">
        <v>543</v>
      </c>
      <c r="B5" s="1" t="s">
        <v>624</v>
      </c>
    </row>
    <row r="6" spans="1:2">
      <c r="A6" s="2" t="s">
        <v>125</v>
      </c>
      <c r="B6" s="1" t="s">
        <v>625</v>
      </c>
    </row>
    <row r="7" spans="1:2">
      <c r="A7" s="2" t="s">
        <v>147</v>
      </c>
      <c r="B7" s="1" t="s">
        <v>626</v>
      </c>
    </row>
    <row r="8" spans="1:2" ht="28.8">
      <c r="A8" s="2" t="s">
        <v>572</v>
      </c>
      <c r="B8" s="1" t="s">
        <v>627</v>
      </c>
    </row>
    <row r="9" spans="1:2" ht="28.8">
      <c r="A9" s="2" t="s">
        <v>576</v>
      </c>
      <c r="B9" s="1" t="s">
        <v>628</v>
      </c>
    </row>
    <row r="10" spans="1:2" ht="57.6">
      <c r="A10" s="2" t="s">
        <v>577</v>
      </c>
      <c r="B10" s="1" t="s">
        <v>629</v>
      </c>
    </row>
    <row r="11" spans="1:2" ht="28.8">
      <c r="A11" s="2" t="s">
        <v>579</v>
      </c>
      <c r="B11" s="1" t="s">
        <v>630</v>
      </c>
    </row>
    <row r="12" spans="1:2" ht="28.8">
      <c r="A12" s="2" t="s">
        <v>430</v>
      </c>
      <c r="B12" s="1" t="s">
        <v>631</v>
      </c>
    </row>
    <row r="13" spans="1:2" ht="28.8">
      <c r="A13" s="2" t="s">
        <v>465</v>
      </c>
      <c r="B13" s="1" t="s">
        <v>632</v>
      </c>
    </row>
    <row r="14" spans="1:2" ht="28.8">
      <c r="A14" s="2" t="s">
        <v>469</v>
      </c>
      <c r="B14" s="1" t="s">
        <v>633</v>
      </c>
    </row>
    <row r="15" spans="1:2" ht="28.8">
      <c r="A15" s="2" t="s">
        <v>481</v>
      </c>
      <c r="B15" s="1" t="s">
        <v>634</v>
      </c>
    </row>
    <row r="16" spans="1:2" ht="28.8">
      <c r="A16" s="2" t="s">
        <v>515</v>
      </c>
      <c r="B16" s="1" t="s">
        <v>635</v>
      </c>
    </row>
    <row r="17" spans="1:2" ht="28.8">
      <c r="A17" s="2" t="s">
        <v>519</v>
      </c>
      <c r="B17" s="1" t="s">
        <v>636</v>
      </c>
    </row>
    <row r="18" spans="1:2">
      <c r="A18" s="2" t="s">
        <v>525</v>
      </c>
      <c r="B18" s="1" t="s">
        <v>637</v>
      </c>
    </row>
    <row r="19" spans="1:2" ht="28.8">
      <c r="A19" s="2" t="s">
        <v>526</v>
      </c>
      <c r="B19" s="1" t="s">
        <v>638</v>
      </c>
    </row>
    <row r="20" spans="1:2">
      <c r="A20" s="2" t="s">
        <v>107</v>
      </c>
      <c r="B20" s="1" t="s">
        <v>639</v>
      </c>
    </row>
    <row r="21" spans="1:2" ht="28.8">
      <c r="A21" s="2" t="s">
        <v>366</v>
      </c>
      <c r="B21" s="1" t="s">
        <v>640</v>
      </c>
    </row>
    <row r="22" spans="1:2" ht="28.8">
      <c r="A22" s="2" t="s">
        <v>388</v>
      </c>
      <c r="B22" s="1" t="s">
        <v>641</v>
      </c>
    </row>
    <row r="23" spans="1:2" ht="43.2">
      <c r="A23" s="2" t="s">
        <v>499</v>
      </c>
      <c r="B23" s="1" t="s">
        <v>642</v>
      </c>
    </row>
    <row r="24" spans="1:2" ht="57.6">
      <c r="A24" s="2" t="s">
        <v>355</v>
      </c>
      <c r="B24" s="1" t="s">
        <v>643</v>
      </c>
    </row>
    <row r="25" spans="1:2">
      <c r="A25" s="2" t="s">
        <v>191</v>
      </c>
      <c r="B25" s="1" t="s">
        <v>644</v>
      </c>
    </row>
    <row r="26" spans="1:2" ht="28.8">
      <c r="A26" s="2" t="s">
        <v>405</v>
      </c>
      <c r="B26" s="1" t="s">
        <v>645</v>
      </c>
    </row>
    <row r="27" spans="1:2" ht="28.8">
      <c r="A27" s="2" t="s">
        <v>595</v>
      </c>
      <c r="B27" s="1" t="s">
        <v>646</v>
      </c>
    </row>
    <row r="28" spans="1:2" ht="28.8">
      <c r="A28" s="2" t="s">
        <v>575</v>
      </c>
      <c r="B28" s="1" t="s">
        <v>647</v>
      </c>
    </row>
    <row r="29" spans="1:2">
      <c r="A29" s="2" t="s">
        <v>254</v>
      </c>
      <c r="B29" s="1" t="s">
        <v>648</v>
      </c>
    </row>
    <row r="30" spans="1:2" ht="43.2">
      <c r="A30" s="2" t="s">
        <v>463</v>
      </c>
      <c r="B30" s="1" t="s">
        <v>649</v>
      </c>
    </row>
    <row r="31" spans="1:2" ht="28.8">
      <c r="A31" s="2" t="s">
        <v>346</v>
      </c>
      <c r="B31" s="1" t="s">
        <v>650</v>
      </c>
    </row>
    <row r="32" spans="1:2">
      <c r="A32" s="2" t="s">
        <v>193</v>
      </c>
      <c r="B32" s="1" t="s">
        <v>651</v>
      </c>
    </row>
    <row r="33" spans="1:2">
      <c r="A33" s="2" t="s">
        <v>235</v>
      </c>
      <c r="B33" s="1" t="s">
        <v>652</v>
      </c>
    </row>
    <row r="34" spans="1:2" ht="28.8">
      <c r="A34" s="2" t="s">
        <v>392</v>
      </c>
      <c r="B34" s="1" t="s">
        <v>653</v>
      </c>
    </row>
    <row r="35" spans="1:2" ht="57.6">
      <c r="A35" s="2" t="s">
        <v>397</v>
      </c>
      <c r="B35" s="1" t="s">
        <v>654</v>
      </c>
    </row>
    <row r="36" spans="1:2">
      <c r="A36" s="2" t="s">
        <v>383</v>
      </c>
      <c r="B36" s="1" t="s">
        <v>655</v>
      </c>
    </row>
    <row r="37" spans="1:2" ht="43.2">
      <c r="A37" s="2" t="s">
        <v>325</v>
      </c>
      <c r="B37" s="1" t="s">
        <v>656</v>
      </c>
    </row>
    <row r="38" spans="1:2" ht="57.6">
      <c r="A38" s="2" t="s">
        <v>363</v>
      </c>
      <c r="B38" s="1" t="s">
        <v>657</v>
      </c>
    </row>
    <row r="39" spans="1:2">
      <c r="A39" s="2" t="s">
        <v>344</v>
      </c>
      <c r="B39" s="1" t="s">
        <v>658</v>
      </c>
    </row>
    <row r="40" spans="1:2" ht="43.2">
      <c r="A40" s="2" t="s">
        <v>414</v>
      </c>
      <c r="B40" s="1" t="s">
        <v>659</v>
      </c>
    </row>
    <row r="41" spans="1:2">
      <c r="A41" s="2" t="s">
        <v>399</v>
      </c>
      <c r="B41" s="1" t="s">
        <v>660</v>
      </c>
    </row>
    <row r="42" spans="1:2" ht="57.6">
      <c r="A42" s="2" t="s">
        <v>379</v>
      </c>
      <c r="B42" s="1" t="s">
        <v>661</v>
      </c>
    </row>
    <row r="43" spans="1:2" ht="28.8">
      <c r="A43" s="2" t="s">
        <v>402</v>
      </c>
      <c r="B43" s="1" t="s">
        <v>662</v>
      </c>
    </row>
    <row r="44" spans="1:2" ht="72">
      <c r="A44" s="2" t="s">
        <v>321</v>
      </c>
      <c r="B44" s="1" t="s">
        <v>663</v>
      </c>
    </row>
    <row r="45" spans="1:2" ht="28.8">
      <c r="A45" s="2" t="s">
        <v>375</v>
      </c>
      <c r="B45" s="1" t="s">
        <v>664</v>
      </c>
    </row>
    <row r="46" spans="1:2" ht="43.2">
      <c r="A46" s="2" t="s">
        <v>333</v>
      </c>
      <c r="B46" s="1" t="s">
        <v>665</v>
      </c>
    </row>
    <row r="47" spans="1:2" ht="28.8">
      <c r="A47" s="2" t="s">
        <v>335</v>
      </c>
      <c r="B47" s="1" t="s">
        <v>666</v>
      </c>
    </row>
    <row r="48" spans="1:2" ht="28.8">
      <c r="A48" s="2" t="s">
        <v>552</v>
      </c>
      <c r="B48" s="1" t="s">
        <v>667</v>
      </c>
    </row>
    <row r="49" spans="1:2" ht="28.8">
      <c r="A49" s="2" t="s">
        <v>581</v>
      </c>
      <c r="B49" s="1" t="s">
        <v>668</v>
      </c>
    </row>
    <row r="50" spans="1:2" ht="28.8">
      <c r="A50" s="2" t="s">
        <v>428</v>
      </c>
      <c r="B50" s="1" t="s">
        <v>669</v>
      </c>
    </row>
    <row r="51" spans="1:2" ht="57.6">
      <c r="A51" s="2" t="s">
        <v>417</v>
      </c>
      <c r="B51" s="1" t="s">
        <v>670</v>
      </c>
    </row>
    <row r="52" spans="1:2" ht="28.8">
      <c r="A52" s="2" t="s">
        <v>485</v>
      </c>
      <c r="B52" s="1" t="s">
        <v>671</v>
      </c>
    </row>
    <row r="53" spans="1:2" ht="28.8">
      <c r="A53" s="2" t="s">
        <v>388</v>
      </c>
      <c r="B53" s="1" t="s">
        <v>641</v>
      </c>
    </row>
    <row r="54" spans="1:2" ht="28.8">
      <c r="A54" s="2" t="s">
        <v>405</v>
      </c>
      <c r="B54" s="1" t="s">
        <v>645</v>
      </c>
    </row>
    <row r="55" spans="1:2" ht="43.2">
      <c r="A55" s="2" t="s">
        <v>314</v>
      </c>
      <c r="B55" s="1" t="s">
        <v>672</v>
      </c>
    </row>
    <row r="56" spans="1:2" ht="28.8">
      <c r="A56" s="2" t="s">
        <v>312</v>
      </c>
      <c r="B56" s="1" t="s">
        <v>673</v>
      </c>
    </row>
    <row r="57" spans="1:2" ht="28.8">
      <c r="A57" s="2" t="s">
        <v>315</v>
      </c>
      <c r="B57" s="1" t="s">
        <v>674</v>
      </c>
    </row>
    <row r="58" spans="1:2" ht="57.6">
      <c r="A58" s="2" t="s">
        <v>397</v>
      </c>
      <c r="B58" s="1" t="s">
        <v>654</v>
      </c>
    </row>
    <row r="59" spans="1:2">
      <c r="A59" s="2" t="s">
        <v>399</v>
      </c>
      <c r="B59" s="1" t="s">
        <v>660</v>
      </c>
    </row>
    <row r="60" spans="1:2" ht="28.8">
      <c r="A60" s="2" t="s">
        <v>402</v>
      </c>
      <c r="B60" s="1" t="s">
        <v>662</v>
      </c>
    </row>
    <row r="61" spans="1:2" ht="28.8">
      <c r="A61" s="2" t="s">
        <v>342</v>
      </c>
      <c r="B61" s="1" t="s">
        <v>675</v>
      </c>
    </row>
    <row r="62" spans="1:2" ht="43.2">
      <c r="A62" s="2" t="s">
        <v>361</v>
      </c>
      <c r="B62" s="1" t="s">
        <v>676</v>
      </c>
    </row>
    <row r="63" spans="1:2" ht="57.6">
      <c r="A63" s="2" t="s">
        <v>396</v>
      </c>
      <c r="B63" s="1" t="s">
        <v>677</v>
      </c>
    </row>
    <row r="64" spans="1:2" ht="28.8">
      <c r="A64" s="2" t="s">
        <v>545</v>
      </c>
      <c r="B64" s="1" t="s">
        <v>678</v>
      </c>
    </row>
    <row r="65" spans="1:2" ht="28.8">
      <c r="A65" s="2" t="s">
        <v>564</v>
      </c>
      <c r="B65" s="1" t="s">
        <v>679</v>
      </c>
    </row>
    <row r="66" spans="1:2">
      <c r="A66" s="2" t="s">
        <v>283</v>
      </c>
      <c r="B66" s="1" t="s">
        <v>680</v>
      </c>
    </row>
    <row r="67" spans="1:2">
      <c r="A67" s="2" t="s">
        <v>287</v>
      </c>
      <c r="B67" s="1" t="s">
        <v>681</v>
      </c>
    </row>
    <row r="68" spans="1:2">
      <c r="A68" s="2" t="s">
        <v>458</v>
      </c>
      <c r="B68" s="1" t="s">
        <v>682</v>
      </c>
    </row>
    <row r="69" spans="1:2" ht="43.2">
      <c r="A69" s="2" t="s">
        <v>475</v>
      </c>
      <c r="B69" s="1" t="s">
        <v>683</v>
      </c>
    </row>
    <row r="70" spans="1:2" ht="57.6">
      <c r="A70" s="2" t="s">
        <v>507</v>
      </c>
      <c r="B70" s="1" t="s">
        <v>684</v>
      </c>
    </row>
    <row r="71" spans="1:2" ht="43.2">
      <c r="A71" s="2" t="s">
        <v>524</v>
      </c>
      <c r="B71" s="1" t="s">
        <v>685</v>
      </c>
    </row>
    <row r="72" spans="1:2" ht="28.8">
      <c r="A72" s="2" t="s">
        <v>405</v>
      </c>
      <c r="B72" s="1" t="s">
        <v>645</v>
      </c>
    </row>
    <row r="73" spans="1:2" ht="43.2">
      <c r="A73" s="2" t="s">
        <v>325</v>
      </c>
      <c r="B73" s="1" t="s">
        <v>656</v>
      </c>
    </row>
    <row r="74" spans="1:2">
      <c r="A74" s="2" t="s">
        <v>399</v>
      </c>
      <c r="B74" s="1" t="s">
        <v>660</v>
      </c>
    </row>
    <row r="75" spans="1:2" ht="28.8">
      <c r="A75" s="2" t="s">
        <v>402</v>
      </c>
      <c r="B75" s="1" t="s">
        <v>662</v>
      </c>
    </row>
    <row r="76" spans="1:2" ht="72">
      <c r="A76" s="2" t="s">
        <v>321</v>
      </c>
      <c r="B76" s="1" t="s">
        <v>663</v>
      </c>
    </row>
    <row r="77" spans="1:2" ht="57.6">
      <c r="A77" s="2" t="s">
        <v>327</v>
      </c>
      <c r="B77" s="1" t="s">
        <v>686</v>
      </c>
    </row>
    <row r="78" spans="1:2" ht="57.6">
      <c r="A78" s="2" t="s">
        <v>357</v>
      </c>
      <c r="B78" s="1" t="s">
        <v>687</v>
      </c>
    </row>
    <row r="79" spans="1:2" ht="57.6">
      <c r="A79" s="2" t="s">
        <v>391</v>
      </c>
      <c r="B79" s="1" t="s">
        <v>688</v>
      </c>
    </row>
    <row r="80" spans="1:2" ht="43.2">
      <c r="A80" s="2" t="s">
        <v>394</v>
      </c>
      <c r="B80" s="1" t="s">
        <v>689</v>
      </c>
    </row>
    <row r="81" spans="1:2" ht="28.8">
      <c r="A81" s="2" t="s">
        <v>398</v>
      </c>
      <c r="B81" s="1" t="s">
        <v>690</v>
      </c>
    </row>
    <row r="82" spans="1:2" ht="28.8">
      <c r="A82" s="2" t="s">
        <v>545</v>
      </c>
      <c r="B82" s="1" t="s">
        <v>678</v>
      </c>
    </row>
    <row r="83" spans="1:2" ht="57.6">
      <c r="A83" s="2" t="s">
        <v>585</v>
      </c>
      <c r="B83" s="1" t="s">
        <v>691</v>
      </c>
    </row>
    <row r="84" spans="1:2" ht="57.6">
      <c r="A84" s="2" t="s">
        <v>417</v>
      </c>
      <c r="B84" s="1" t="s">
        <v>670</v>
      </c>
    </row>
    <row r="85" spans="1:2" ht="43.2">
      <c r="A85" s="2" t="s">
        <v>475</v>
      </c>
      <c r="B85" s="1" t="s">
        <v>683</v>
      </c>
    </row>
    <row r="86" spans="1:2" ht="57.6">
      <c r="A86" s="2" t="s">
        <v>507</v>
      </c>
      <c r="B86" s="1" t="s">
        <v>684</v>
      </c>
    </row>
    <row r="87" spans="1:2" ht="43.2">
      <c r="A87" s="2" t="s">
        <v>524</v>
      </c>
      <c r="B87" s="1" t="s">
        <v>685</v>
      </c>
    </row>
    <row r="88" spans="1:2" ht="57.6">
      <c r="A88" s="2" t="s">
        <v>440</v>
      </c>
      <c r="B88" s="1" t="s">
        <v>692</v>
      </c>
    </row>
    <row r="89" spans="1:2" ht="57.6">
      <c r="A89" s="2" t="s">
        <v>445</v>
      </c>
      <c r="B89" s="1" t="s">
        <v>693</v>
      </c>
    </row>
    <row r="90" spans="1:2" ht="28.8">
      <c r="A90" s="2" t="s">
        <v>473</v>
      </c>
      <c r="B90" s="1" t="s">
        <v>694</v>
      </c>
    </row>
    <row r="91" spans="1:2" ht="43.2">
      <c r="A91" s="2" t="s">
        <v>477</v>
      </c>
      <c r="B91" s="1" t="s">
        <v>695</v>
      </c>
    </row>
    <row r="92" spans="1:2" ht="86.4">
      <c r="A92" s="2" t="s">
        <v>478</v>
      </c>
      <c r="B92" s="1" t="s">
        <v>696</v>
      </c>
    </row>
    <row r="93" spans="1:2" ht="57.6">
      <c r="A93" s="2" t="s">
        <v>421</v>
      </c>
      <c r="B93" s="1" t="s">
        <v>697</v>
      </c>
    </row>
    <row r="94" spans="1:2" ht="28.8">
      <c r="A94" s="2" t="s">
        <v>484</v>
      </c>
      <c r="B94" s="1" t="s">
        <v>698</v>
      </c>
    </row>
    <row r="95" spans="1:2" ht="86.4">
      <c r="A95" s="2" t="s">
        <v>442</v>
      </c>
      <c r="B95" s="1" t="s">
        <v>699</v>
      </c>
    </row>
    <row r="96" spans="1:2" ht="86.4">
      <c r="A96" s="2" t="s">
        <v>517</v>
      </c>
      <c r="B96" s="1" t="s">
        <v>700</v>
      </c>
    </row>
    <row r="97" spans="1:2" ht="43.2">
      <c r="A97" s="2" t="s">
        <v>528</v>
      </c>
      <c r="B97" s="1" t="s">
        <v>701</v>
      </c>
    </row>
    <row r="98" spans="1:2" ht="86.4">
      <c r="A98" s="2" t="s">
        <v>501</v>
      </c>
      <c r="B98" s="1" t="s">
        <v>702</v>
      </c>
    </row>
    <row r="99" spans="1:2" ht="57.6">
      <c r="A99" s="2" t="s">
        <v>355</v>
      </c>
      <c r="B99" s="1" t="s">
        <v>643</v>
      </c>
    </row>
    <row r="100" spans="1:2">
      <c r="A100" s="2" t="s">
        <v>191</v>
      </c>
      <c r="B100" s="1" t="s">
        <v>644</v>
      </c>
    </row>
    <row r="101" spans="1:2" ht="43.2">
      <c r="A101" s="2" t="s">
        <v>314</v>
      </c>
      <c r="B101" s="1" t="s">
        <v>672</v>
      </c>
    </row>
    <row r="102" spans="1:2" ht="28.8">
      <c r="A102" s="2" t="s">
        <v>312</v>
      </c>
      <c r="B102" s="1" t="s">
        <v>673</v>
      </c>
    </row>
    <row r="103" spans="1:2" ht="28.8">
      <c r="A103" s="2" t="s">
        <v>315</v>
      </c>
      <c r="B103" s="1" t="s">
        <v>674</v>
      </c>
    </row>
    <row r="104" spans="1:2" ht="43.2">
      <c r="A104" s="2" t="s">
        <v>309</v>
      </c>
      <c r="B104" s="1" t="s">
        <v>703</v>
      </c>
    </row>
    <row r="105" spans="1:2" ht="43.2">
      <c r="A105" s="2" t="s">
        <v>319</v>
      </c>
      <c r="B105" s="1" t="s">
        <v>704</v>
      </c>
    </row>
    <row r="106" spans="1:2" ht="43.2">
      <c r="A106" s="2" t="s">
        <v>607</v>
      </c>
      <c r="B106" s="1" t="s">
        <v>705</v>
      </c>
    </row>
    <row r="107" spans="1:2" ht="43.2">
      <c r="A107" s="2" t="s">
        <v>358</v>
      </c>
      <c r="B107" s="1" t="s">
        <v>706</v>
      </c>
    </row>
    <row r="108" spans="1:2" ht="57.6">
      <c r="A108" s="2" t="s">
        <v>369</v>
      </c>
      <c r="B108" s="1" t="s">
        <v>707</v>
      </c>
    </row>
    <row r="109" spans="1:2" ht="28.8">
      <c r="A109" s="2" t="s">
        <v>447</v>
      </c>
      <c r="B109" s="1" t="s">
        <v>708</v>
      </c>
    </row>
    <row r="110" spans="1:2" ht="43.2">
      <c r="A110" s="2" t="s">
        <v>710</v>
      </c>
      <c r="B110" s="1" t="s">
        <v>709</v>
      </c>
    </row>
    <row r="111" spans="1:2" ht="57.6">
      <c r="A111" s="2" t="s">
        <v>306</v>
      </c>
      <c r="B111" s="1" t="s">
        <v>711</v>
      </c>
    </row>
    <row r="112" spans="1:2" ht="57.6">
      <c r="A112" s="2" t="s">
        <v>307</v>
      </c>
      <c r="B112" s="1" t="s">
        <v>712</v>
      </c>
    </row>
    <row r="113" spans="1:2" ht="28.8">
      <c r="A113" s="2" t="s">
        <v>308</v>
      </c>
      <c r="B113" s="1" t="s">
        <v>713</v>
      </c>
    </row>
    <row r="114" spans="1:2" ht="86.4">
      <c r="A114" s="2" t="s">
        <v>303</v>
      </c>
      <c r="B114" s="1" t="s">
        <v>714</v>
      </c>
    </row>
    <row r="115" spans="1:2" ht="57.6">
      <c r="A115" s="2" t="s">
        <v>304</v>
      </c>
      <c r="B115" s="1" t="s">
        <v>715</v>
      </c>
    </row>
    <row r="116" spans="1:2" ht="43.2">
      <c r="A116" s="2" t="s">
        <v>305</v>
      </c>
      <c r="B116" s="1" t="s">
        <v>716</v>
      </c>
    </row>
    <row r="117" spans="1:2">
      <c r="A117" s="2" t="s">
        <v>383</v>
      </c>
      <c r="B117" s="1" t="s">
        <v>655</v>
      </c>
    </row>
    <row r="118" spans="1:2" ht="57.6">
      <c r="A118" s="2" t="s">
        <v>363</v>
      </c>
      <c r="B118" s="1" t="s">
        <v>657</v>
      </c>
    </row>
    <row r="119" spans="1:2" ht="57.6">
      <c r="A119" s="2" t="s">
        <v>379</v>
      </c>
      <c r="B119" s="1" t="s">
        <v>661</v>
      </c>
    </row>
    <row r="120" spans="1:2" ht="43.2">
      <c r="A120" s="2" t="s">
        <v>352</v>
      </c>
      <c r="B120" s="1" t="s">
        <v>717</v>
      </c>
    </row>
    <row r="121" spans="1:2" ht="57.6">
      <c r="A121" s="2" t="s">
        <v>329</v>
      </c>
      <c r="B121" s="1" t="s">
        <v>718</v>
      </c>
    </row>
    <row r="122" spans="1:2" ht="57.6">
      <c r="A122" s="2" t="s">
        <v>359</v>
      </c>
      <c r="B122" s="1" t="s">
        <v>719</v>
      </c>
    </row>
    <row r="123" spans="1:2" ht="57.6">
      <c r="A123" s="2" t="s">
        <v>362</v>
      </c>
      <c r="B123" s="1" t="s">
        <v>720</v>
      </c>
    </row>
    <row r="124" spans="1:2" ht="57.6">
      <c r="A124" s="2" t="s">
        <v>365</v>
      </c>
      <c r="B124" s="1" t="s">
        <v>721</v>
      </c>
    </row>
    <row r="125" spans="1:2" ht="28.8">
      <c r="A125" s="2" t="s">
        <v>367</v>
      </c>
      <c r="B125" s="1" t="s">
        <v>722</v>
      </c>
    </row>
    <row r="126" spans="1:2" ht="57.6">
      <c r="A126" s="2" t="s">
        <v>368</v>
      </c>
      <c r="B126" s="1" t="s">
        <v>723</v>
      </c>
    </row>
    <row r="127" spans="1:2" ht="28.8">
      <c r="A127" s="2" t="s">
        <v>371</v>
      </c>
      <c r="B127" s="1" t="s">
        <v>724</v>
      </c>
    </row>
    <row r="128" spans="1:2" ht="43.2">
      <c r="A128" s="2" t="s">
        <v>381</v>
      </c>
      <c r="B128" s="1" t="s">
        <v>725</v>
      </c>
    </row>
    <row r="129" spans="1:2">
      <c r="A129" s="2" t="s">
        <v>378</v>
      </c>
      <c r="B129" s="1" t="s">
        <v>726</v>
      </c>
    </row>
    <row r="130" spans="1:2" ht="43.2">
      <c r="A130" s="2" t="s">
        <v>339</v>
      </c>
      <c r="B130" s="1" t="s">
        <v>727</v>
      </c>
    </row>
    <row r="131" spans="1:2">
      <c r="A131" s="2" t="s">
        <v>408</v>
      </c>
      <c r="B131" s="1" t="s">
        <v>728</v>
      </c>
    </row>
    <row r="132" spans="1:2" ht="72">
      <c r="A132" s="2" t="s">
        <v>547</v>
      </c>
      <c r="B132" s="1" t="s">
        <v>729</v>
      </c>
    </row>
    <row r="133" spans="1:2" ht="57.6">
      <c r="A133" s="2" t="s">
        <v>582</v>
      </c>
      <c r="B133" s="1" t="s">
        <v>730</v>
      </c>
    </row>
    <row r="134" spans="1:2" ht="28.8">
      <c r="A134" s="2" t="s">
        <v>366</v>
      </c>
      <c r="B134" s="1" t="s">
        <v>640</v>
      </c>
    </row>
    <row r="135" spans="1:2" ht="57.6">
      <c r="A135" s="2" t="s">
        <v>433</v>
      </c>
      <c r="B135" s="1" t="s">
        <v>731</v>
      </c>
    </row>
    <row r="136" spans="1:2" ht="43.2">
      <c r="A136" s="2" t="s">
        <v>439</v>
      </c>
      <c r="B136" s="1" t="s">
        <v>732</v>
      </c>
    </row>
    <row r="137" spans="1:2" ht="28.8">
      <c r="A137" s="2" t="s">
        <v>482</v>
      </c>
      <c r="B137" s="1" t="s">
        <v>733</v>
      </c>
    </row>
    <row r="138" spans="1:2" ht="43.2">
      <c r="A138" s="2" t="s">
        <v>317</v>
      </c>
      <c r="B138" s="1" t="s">
        <v>734</v>
      </c>
    </row>
    <row r="139" spans="1:2" ht="43.2">
      <c r="A139" s="2" t="s">
        <v>603</v>
      </c>
      <c r="B139" s="1" t="s">
        <v>735</v>
      </c>
    </row>
    <row r="140" spans="1:2" ht="57.6">
      <c r="A140" s="2" t="s">
        <v>397</v>
      </c>
      <c r="B140" s="1" t="s">
        <v>654</v>
      </c>
    </row>
    <row r="141" spans="1:2" ht="57.6">
      <c r="A141" s="2" t="s">
        <v>396</v>
      </c>
      <c r="B141" s="1" t="s">
        <v>677</v>
      </c>
    </row>
    <row r="142" spans="1:2" ht="28.8">
      <c r="A142" s="2" t="s">
        <v>349</v>
      </c>
      <c r="B142" s="1" t="s">
        <v>736</v>
      </c>
    </row>
    <row r="143" spans="1:2" ht="43.2">
      <c r="A143" s="2" t="s">
        <v>566</v>
      </c>
      <c r="B143" s="1" t="s">
        <v>737</v>
      </c>
    </row>
    <row r="144" spans="1:2" ht="43.2">
      <c r="A144" s="2" t="s">
        <v>567</v>
      </c>
      <c r="B144" s="1" t="s">
        <v>738</v>
      </c>
    </row>
    <row r="145" spans="1:2" ht="57.6">
      <c r="A145" s="2" t="s">
        <v>569</v>
      </c>
      <c r="B145" s="1" t="s">
        <v>739</v>
      </c>
    </row>
    <row r="146" spans="1:2">
      <c r="A146" s="2" t="s">
        <v>176</v>
      </c>
      <c r="B146" s="1" t="s">
        <v>740</v>
      </c>
    </row>
    <row r="147" spans="1:2" ht="43.2">
      <c r="A147" s="2" t="s">
        <v>499</v>
      </c>
      <c r="B147" s="1" t="s">
        <v>642</v>
      </c>
    </row>
    <row r="148" spans="1:2" ht="43.2">
      <c r="A148" s="2" t="s">
        <v>419</v>
      </c>
      <c r="B148" s="1" t="s">
        <v>741</v>
      </c>
    </row>
    <row r="149" spans="1:2" ht="57.6">
      <c r="A149" s="2" t="s">
        <v>452</v>
      </c>
      <c r="B149" s="1" t="s">
        <v>742</v>
      </c>
    </row>
    <row r="150" spans="1:2" ht="43.2">
      <c r="A150" s="2" t="s">
        <v>454</v>
      </c>
      <c r="B150" s="1" t="s">
        <v>743</v>
      </c>
    </row>
    <row r="151" spans="1:2" ht="28.8">
      <c r="A151" s="2" t="s">
        <v>479</v>
      </c>
      <c r="B151" s="1" t="s">
        <v>744</v>
      </c>
    </row>
    <row r="152" spans="1:2" ht="43.2">
      <c r="A152" s="2" t="s">
        <v>495</v>
      </c>
      <c r="B152" s="1" t="s">
        <v>745</v>
      </c>
    </row>
    <row r="153" spans="1:2" ht="57.6">
      <c r="A153" s="2" t="s">
        <v>497</v>
      </c>
      <c r="B153" s="1" t="s">
        <v>746</v>
      </c>
    </row>
    <row r="154" spans="1:2" ht="28.8">
      <c r="A154" s="2" t="s">
        <v>503</v>
      </c>
      <c r="B154" s="1" t="s">
        <v>747</v>
      </c>
    </row>
    <row r="155" spans="1:2" ht="28.8">
      <c r="A155" s="2" t="s">
        <v>514</v>
      </c>
      <c r="B155" s="1" t="s">
        <v>748</v>
      </c>
    </row>
    <row r="156" spans="1:2" ht="57.6">
      <c r="A156" s="2" t="s">
        <v>518</v>
      </c>
      <c r="B156" s="1" t="s">
        <v>749</v>
      </c>
    </row>
    <row r="157" spans="1:2" ht="43.2">
      <c r="A157" s="2" t="s">
        <v>521</v>
      </c>
      <c r="B157" s="1" t="s">
        <v>750</v>
      </c>
    </row>
    <row r="158" spans="1:2" ht="57.6">
      <c r="A158" s="2" t="s">
        <v>472</v>
      </c>
      <c r="B158" s="1" t="s">
        <v>751</v>
      </c>
    </row>
    <row r="159" spans="1:2" ht="28.8">
      <c r="A159" s="2" t="s">
        <v>512</v>
      </c>
      <c r="B159" s="1" t="s">
        <v>752</v>
      </c>
    </row>
    <row r="160" spans="1:2" ht="28.8">
      <c r="A160" s="2" t="s">
        <v>312</v>
      </c>
      <c r="B160" s="1" t="s">
        <v>673</v>
      </c>
    </row>
    <row r="161" spans="1:2" ht="28.8">
      <c r="A161" s="2" t="s">
        <v>315</v>
      </c>
      <c r="B161" s="1" t="s">
        <v>674</v>
      </c>
    </row>
    <row r="162" spans="1:2" ht="43.2">
      <c r="A162" s="2" t="s">
        <v>317</v>
      </c>
      <c r="B162" s="1" t="s">
        <v>734</v>
      </c>
    </row>
    <row r="163" spans="1:2" ht="43.2">
      <c r="A163" s="2" t="s">
        <v>602</v>
      </c>
      <c r="B163" s="1" t="s">
        <v>753</v>
      </c>
    </row>
    <row r="164" spans="1:2" ht="28.8">
      <c r="A164" s="2" t="s">
        <v>606</v>
      </c>
      <c r="B164" s="1" t="s">
        <v>754</v>
      </c>
    </row>
    <row r="165" spans="1:2" ht="43.2">
      <c r="A165" s="2" t="s">
        <v>618</v>
      </c>
      <c r="B165" s="1" t="s">
        <v>755</v>
      </c>
    </row>
    <row r="166" spans="1:2" ht="43.2">
      <c r="A166" s="2" t="s">
        <v>325</v>
      </c>
      <c r="B166" s="1" t="s">
        <v>656</v>
      </c>
    </row>
    <row r="167" spans="1:2">
      <c r="A167" s="2" t="s">
        <v>571</v>
      </c>
      <c r="B167" s="1" t="s">
        <v>756</v>
      </c>
    </row>
    <row r="168" spans="1:2" ht="43.2">
      <c r="A168" s="2" t="s">
        <v>524</v>
      </c>
      <c r="B168" s="1" t="s">
        <v>685</v>
      </c>
    </row>
    <row r="169" spans="1:2" ht="57.6">
      <c r="A169" s="2" t="s">
        <v>421</v>
      </c>
      <c r="B169" s="1" t="s">
        <v>697</v>
      </c>
    </row>
    <row r="170" spans="1:2" ht="28.8">
      <c r="A170" s="2" t="s">
        <v>512</v>
      </c>
      <c r="B170" s="1" t="s">
        <v>752</v>
      </c>
    </row>
    <row r="171" spans="1:2" ht="43.2">
      <c r="A171" s="2" t="s">
        <v>432</v>
      </c>
      <c r="B171" s="1" t="s">
        <v>757</v>
      </c>
    </row>
    <row r="172" spans="1:2" ht="72">
      <c r="A172" s="2" t="s">
        <v>610</v>
      </c>
      <c r="B172" s="1" t="s">
        <v>758</v>
      </c>
    </row>
    <row r="173" spans="1:2" ht="72">
      <c r="A173" s="2" t="s">
        <v>613</v>
      </c>
      <c r="B173" s="1" t="s">
        <v>759</v>
      </c>
    </row>
    <row r="174" spans="1:2" ht="72">
      <c r="A174" s="2" t="s">
        <v>615</v>
      </c>
      <c r="B174" s="1" t="s">
        <v>760</v>
      </c>
    </row>
    <row r="175" spans="1:2" ht="28.8">
      <c r="A175" s="2" t="s">
        <v>375</v>
      </c>
      <c r="B175" s="1" t="s">
        <v>664</v>
      </c>
    </row>
    <row r="176" spans="1:2" ht="43.2">
      <c r="A176" s="2" t="s">
        <v>394</v>
      </c>
      <c r="B176" s="1" t="s">
        <v>689</v>
      </c>
    </row>
    <row r="177" spans="1:2">
      <c r="A177" s="2" t="s">
        <v>403</v>
      </c>
      <c r="B177" s="1" t="s">
        <v>761</v>
      </c>
    </row>
    <row r="178" spans="1:2" ht="28.8">
      <c r="A178" s="2" t="s">
        <v>485</v>
      </c>
      <c r="B178" s="1" t="s">
        <v>671</v>
      </c>
    </row>
    <row r="179" spans="1:2" ht="28.8">
      <c r="A179" s="2" t="s">
        <v>449</v>
      </c>
      <c r="B179" s="1" t="s">
        <v>762</v>
      </c>
    </row>
    <row r="180" spans="1:2" ht="43.2">
      <c r="A180" s="2" t="s">
        <v>456</v>
      </c>
      <c r="B180" s="1" t="s">
        <v>763</v>
      </c>
    </row>
    <row r="181" spans="1:2" ht="43.2">
      <c r="A181" s="2" t="s">
        <v>459</v>
      </c>
      <c r="B181" s="1" t="s">
        <v>764</v>
      </c>
    </row>
    <row r="182" spans="1:2" ht="43.2">
      <c r="A182" s="2" t="s">
        <v>461</v>
      </c>
      <c r="B182" s="1" t="s">
        <v>765</v>
      </c>
    </row>
    <row r="183" spans="1:2" ht="28.8">
      <c r="A183" s="2" t="s">
        <v>470</v>
      </c>
      <c r="B183" s="1" t="s">
        <v>766</v>
      </c>
    </row>
    <row r="184" spans="1:2" ht="28.8">
      <c r="A184" s="2" t="s">
        <v>492</v>
      </c>
      <c r="B184" s="1" t="s">
        <v>767</v>
      </c>
    </row>
    <row r="185" spans="1:2" ht="28.8">
      <c r="A185" s="2" t="s">
        <v>537</v>
      </c>
      <c r="B185" s="1" t="s">
        <v>768</v>
      </c>
    </row>
    <row r="186" spans="1:2" ht="72">
      <c r="A186" s="2" t="s">
        <v>539</v>
      </c>
      <c r="B186" s="1" t="s">
        <v>769</v>
      </c>
    </row>
    <row r="187" spans="1:2" ht="28.8">
      <c r="A187" s="2" t="s">
        <v>435</v>
      </c>
      <c r="B187" s="1" t="s">
        <v>770</v>
      </c>
    </row>
    <row r="188" spans="1:2" ht="28.8">
      <c r="A188" s="2" t="s">
        <v>425</v>
      </c>
      <c r="B188" s="1" t="s">
        <v>771</v>
      </c>
    </row>
    <row r="189" spans="1:2" ht="28.8">
      <c r="A189" s="2" t="s">
        <v>312</v>
      </c>
      <c r="B189" s="1" t="s">
        <v>673</v>
      </c>
    </row>
    <row r="190" spans="1:2" ht="28.8">
      <c r="A190" s="2" t="s">
        <v>315</v>
      </c>
      <c r="B190" s="1" t="s">
        <v>674</v>
      </c>
    </row>
    <row r="191" spans="1:2" ht="57.6">
      <c r="A191" s="2" t="s">
        <v>600</v>
      </c>
      <c r="B191" s="1" t="s">
        <v>772</v>
      </c>
    </row>
    <row r="192" spans="1:2" ht="43.2">
      <c r="A192" s="2" t="s">
        <v>617</v>
      </c>
      <c r="B192" s="1" t="s">
        <v>773</v>
      </c>
    </row>
    <row r="193" spans="1:2" ht="43.2">
      <c r="A193" s="2" t="s">
        <v>325</v>
      </c>
      <c r="B193" s="1" t="s">
        <v>656</v>
      </c>
    </row>
    <row r="194" spans="1:2" ht="57.6">
      <c r="A194" s="2" t="s">
        <v>558</v>
      </c>
      <c r="B194" s="1" t="s">
        <v>774</v>
      </c>
    </row>
    <row r="195" spans="1:2" ht="72">
      <c r="A195" s="2" t="s">
        <v>561</v>
      </c>
      <c r="B195" s="1" t="s">
        <v>775</v>
      </c>
    </row>
    <row r="196" spans="1:2" ht="72">
      <c r="A196" s="2" t="s">
        <v>597</v>
      </c>
      <c r="B196" s="1" t="s">
        <v>776</v>
      </c>
    </row>
    <row r="197" spans="1:2" ht="43.2">
      <c r="A197" s="2" t="s">
        <v>499</v>
      </c>
      <c r="B197" s="1" t="s">
        <v>642</v>
      </c>
    </row>
    <row r="198" spans="1:2" ht="43.2">
      <c r="A198" s="2" t="s">
        <v>509</v>
      </c>
      <c r="B198" s="1" t="s">
        <v>777</v>
      </c>
    </row>
    <row r="199" spans="1:2">
      <c r="A199" s="2" t="s">
        <v>223</v>
      </c>
      <c r="B199" s="1" t="s">
        <v>778</v>
      </c>
    </row>
    <row r="200" spans="1:2">
      <c r="A200" s="2" t="s">
        <v>225</v>
      </c>
      <c r="B200" s="1" t="s">
        <v>779</v>
      </c>
    </row>
    <row r="201" spans="1:2" ht="43.2">
      <c r="A201" s="2" t="s">
        <v>341</v>
      </c>
      <c r="B201" s="1" t="s">
        <v>780</v>
      </c>
    </row>
    <row r="202" spans="1:2" ht="28.8">
      <c r="A202" s="2" t="s">
        <v>385</v>
      </c>
      <c r="B202" s="1" t="s">
        <v>781</v>
      </c>
    </row>
    <row r="203" spans="1:2">
      <c r="A203" s="2" t="s">
        <v>324</v>
      </c>
      <c r="B203" s="1" t="s">
        <v>782</v>
      </c>
    </row>
    <row r="204" spans="1:2" ht="43.2">
      <c r="A204" s="2" t="s">
        <v>337</v>
      </c>
      <c r="B204" s="1" t="s">
        <v>783</v>
      </c>
    </row>
    <row r="205" spans="1:2" ht="28.8">
      <c r="A205" s="2" t="s">
        <v>353</v>
      </c>
      <c r="B205" s="1" t="s">
        <v>784</v>
      </c>
    </row>
    <row r="206" spans="1:2" ht="28.8">
      <c r="A206" s="2" t="s">
        <v>373</v>
      </c>
      <c r="B206" s="1" t="s">
        <v>785</v>
      </c>
    </row>
    <row r="207" spans="1:2" ht="28.8">
      <c r="A207" s="2" t="s">
        <v>387</v>
      </c>
      <c r="B207" s="1" t="s">
        <v>786</v>
      </c>
    </row>
    <row r="208" spans="1:2" ht="57.6">
      <c r="A208" s="2" t="s">
        <v>390</v>
      </c>
      <c r="B208" s="1" t="s">
        <v>787</v>
      </c>
    </row>
    <row r="209" spans="1:2" ht="28.8">
      <c r="A209" s="2" t="s">
        <v>410</v>
      </c>
      <c r="B209" s="1" t="s">
        <v>788</v>
      </c>
    </row>
    <row r="210" spans="1:2" ht="43.2">
      <c r="A210" s="2" t="s">
        <v>412</v>
      </c>
      <c r="B210" s="1" t="s">
        <v>789</v>
      </c>
    </row>
    <row r="211" spans="1:2" ht="43.2">
      <c r="A211" s="2" t="s">
        <v>573</v>
      </c>
      <c r="B211" s="1" t="s">
        <v>790</v>
      </c>
    </row>
    <row r="212" spans="1:2" ht="43.2">
      <c r="A212" s="2" t="s">
        <v>531</v>
      </c>
      <c r="B212" s="1" t="s">
        <v>791</v>
      </c>
    </row>
    <row r="213" spans="1:2" ht="28.8">
      <c r="A213" s="2" t="s">
        <v>541</v>
      </c>
      <c r="B213" s="1" t="s">
        <v>792</v>
      </c>
    </row>
    <row r="214" spans="1:2" ht="28.8">
      <c r="A214" s="2" t="s">
        <v>546</v>
      </c>
      <c r="B214" s="1" t="s">
        <v>793</v>
      </c>
    </row>
    <row r="215" spans="1:2" ht="28.8">
      <c r="A215" s="2" t="s">
        <v>549</v>
      </c>
      <c r="B215" s="1" t="s">
        <v>794</v>
      </c>
    </row>
    <row r="216" spans="1:2" ht="72">
      <c r="A216" s="2" t="s">
        <v>563</v>
      </c>
      <c r="B216" s="1" t="s">
        <v>795</v>
      </c>
    </row>
    <row r="217" spans="1:2" ht="28.8">
      <c r="A217" s="2" t="s">
        <v>583</v>
      </c>
      <c r="B217" s="1" t="s">
        <v>796</v>
      </c>
    </row>
    <row r="218" spans="1:2" ht="28.8">
      <c r="A218" s="2" t="s">
        <v>492</v>
      </c>
      <c r="B218" s="1" t="s">
        <v>767</v>
      </c>
    </row>
    <row r="219" spans="1:2" ht="57.6">
      <c r="A219" s="2" t="s">
        <v>423</v>
      </c>
      <c r="B219" s="1" t="s">
        <v>797</v>
      </c>
    </row>
    <row r="220" spans="1:2" ht="28.8">
      <c r="A220" s="2" t="s">
        <v>490</v>
      </c>
      <c r="B220" s="1" t="s">
        <v>798</v>
      </c>
    </row>
    <row r="221" spans="1:2" ht="28.8">
      <c r="A221" s="2" t="s">
        <v>564</v>
      </c>
      <c r="B221" s="1" t="s">
        <v>679</v>
      </c>
    </row>
    <row r="222" spans="1:2">
      <c r="A222" s="2" t="s">
        <v>283</v>
      </c>
      <c r="B222" s="1" t="s">
        <v>680</v>
      </c>
    </row>
    <row r="223" spans="1:2">
      <c r="A223" s="2" t="s">
        <v>287</v>
      </c>
      <c r="B223" s="1" t="s">
        <v>681</v>
      </c>
    </row>
    <row r="224" spans="1:2">
      <c r="A224" s="2" t="s">
        <v>571</v>
      </c>
      <c r="B224" s="1" t="s">
        <v>756</v>
      </c>
    </row>
    <row r="225" spans="1:2">
      <c r="A225" s="2" t="s">
        <v>26</v>
      </c>
      <c r="B225" s="1" t="s">
        <v>799</v>
      </c>
    </row>
    <row r="226" spans="1:2" ht="28.8">
      <c r="A226" s="2" t="s">
        <v>532</v>
      </c>
      <c r="B226" s="1" t="s">
        <v>800</v>
      </c>
    </row>
    <row r="227" spans="1:2" ht="28.8">
      <c r="A227" s="2" t="s">
        <v>534</v>
      </c>
      <c r="B227" s="1" t="s">
        <v>801</v>
      </c>
    </row>
    <row r="228" spans="1:2">
      <c r="A228" s="2" t="s">
        <v>60</v>
      </c>
      <c r="B228" s="1" t="s">
        <v>802</v>
      </c>
    </row>
    <row r="229" spans="1:2">
      <c r="A229" s="2" t="s">
        <v>98</v>
      </c>
      <c r="B229" s="1" t="s">
        <v>803</v>
      </c>
    </row>
    <row r="230" spans="1:2" ht="28.8">
      <c r="A230" s="2" t="s">
        <v>551</v>
      </c>
      <c r="B230" s="1" t="s">
        <v>804</v>
      </c>
    </row>
    <row r="231" spans="1:2">
      <c r="A231" s="2" t="s">
        <v>553</v>
      </c>
      <c r="B231" s="1" t="s">
        <v>805</v>
      </c>
    </row>
    <row r="232" spans="1:2" ht="28.8">
      <c r="A232" s="2" t="s">
        <v>555</v>
      </c>
      <c r="B232" s="1" t="s">
        <v>806</v>
      </c>
    </row>
    <row r="233" spans="1:2">
      <c r="A233" s="2" t="s">
        <v>144</v>
      </c>
      <c r="B233" s="1" t="s">
        <v>807</v>
      </c>
    </row>
    <row r="234" spans="1:2" ht="28.8">
      <c r="A234" s="2" t="s">
        <v>578</v>
      </c>
      <c r="B234" s="1" t="s">
        <v>808</v>
      </c>
    </row>
    <row r="235" spans="1:2">
      <c r="A235" s="2" t="s">
        <v>580</v>
      </c>
      <c r="B235" s="1" t="s">
        <v>809</v>
      </c>
    </row>
    <row r="236" spans="1:2" ht="28.8">
      <c r="A236" s="2" t="s">
        <v>586</v>
      </c>
      <c r="B236" s="1" t="s">
        <v>810</v>
      </c>
    </row>
    <row r="237" spans="1:2" ht="28.8">
      <c r="A237" s="2" t="s">
        <v>588</v>
      </c>
      <c r="B237" s="1" t="s">
        <v>811</v>
      </c>
    </row>
    <row r="238" spans="1:2" ht="28.8">
      <c r="A238" s="2" t="s">
        <v>590</v>
      </c>
      <c r="B238" s="1" t="s">
        <v>812</v>
      </c>
    </row>
    <row r="239" spans="1:2" ht="28.8">
      <c r="A239" s="2" t="s">
        <v>592</v>
      </c>
      <c r="B239" s="1" t="s">
        <v>813</v>
      </c>
    </row>
    <row r="240" spans="1:2">
      <c r="A240" s="2" t="s">
        <v>37</v>
      </c>
      <c r="B240" s="1" t="s">
        <v>814</v>
      </c>
    </row>
    <row r="241" spans="1:2">
      <c r="A241" s="2" t="s">
        <v>593</v>
      </c>
      <c r="B241" s="1" t="s">
        <v>815</v>
      </c>
    </row>
    <row r="242" spans="1:2">
      <c r="A242" s="2" t="s">
        <v>272</v>
      </c>
      <c r="B242" s="1" t="s">
        <v>816</v>
      </c>
    </row>
    <row r="243" spans="1:2">
      <c r="A243" s="2" t="s">
        <v>273</v>
      </c>
      <c r="B243" s="1" t="s">
        <v>817</v>
      </c>
    </row>
    <row r="244" spans="1:2">
      <c r="A244" s="2" t="s">
        <v>284</v>
      </c>
      <c r="B244" s="1" t="s">
        <v>818</v>
      </c>
    </row>
    <row r="245" spans="1:2" ht="43.2">
      <c r="A245" s="2" t="s">
        <v>524</v>
      </c>
      <c r="B245" s="1" t="s">
        <v>685</v>
      </c>
    </row>
    <row r="246" spans="1:2" ht="28.8">
      <c r="A246" s="2" t="s">
        <v>484</v>
      </c>
      <c r="B246" s="1" t="s">
        <v>698</v>
      </c>
    </row>
    <row r="247" spans="1:2">
      <c r="A247" s="2" t="s">
        <v>75</v>
      </c>
      <c r="B247" s="1" t="s">
        <v>819</v>
      </c>
    </row>
    <row r="248" spans="1:2">
      <c r="A248" s="2" t="s">
        <v>85</v>
      </c>
      <c r="B248" s="1" t="s">
        <v>820</v>
      </c>
    </row>
    <row r="249" spans="1:2">
      <c r="A249" s="2" t="s">
        <v>86</v>
      </c>
      <c r="B249" s="1" t="s">
        <v>821</v>
      </c>
    </row>
    <row r="250" spans="1:2">
      <c r="A250" s="2" t="s">
        <v>467</v>
      </c>
      <c r="B250" s="1" t="s">
        <v>822</v>
      </c>
    </row>
    <row r="251" spans="1:2">
      <c r="A251" s="2" t="s">
        <v>489</v>
      </c>
      <c r="B251" s="1" t="s">
        <v>823</v>
      </c>
    </row>
    <row r="252" spans="1:2">
      <c r="A252" s="2" t="s">
        <v>260</v>
      </c>
      <c r="B252" s="1" t="s">
        <v>824</v>
      </c>
    </row>
    <row r="253" spans="1:2">
      <c r="A253" s="2" t="s">
        <v>277</v>
      </c>
      <c r="B253" s="1" t="s">
        <v>825</v>
      </c>
    </row>
    <row r="254" spans="1:2" ht="28.8">
      <c r="A254" s="2" t="s">
        <v>595</v>
      </c>
      <c r="B254" s="1" t="s">
        <v>646</v>
      </c>
    </row>
    <row r="255" spans="1:2" ht="28.8">
      <c r="A255" s="2" t="s">
        <v>575</v>
      </c>
      <c r="B255" s="1" t="s">
        <v>647</v>
      </c>
    </row>
    <row r="256" spans="1:2">
      <c r="A256" s="2" t="s">
        <v>254</v>
      </c>
      <c r="B256" s="1" t="s">
        <v>648</v>
      </c>
    </row>
    <row r="257" spans="1:2" ht="43.2">
      <c r="A257" s="2" t="s">
        <v>463</v>
      </c>
      <c r="B257" s="1" t="s">
        <v>649</v>
      </c>
    </row>
    <row r="258" spans="1:2">
      <c r="A258" s="2" t="s">
        <v>223</v>
      </c>
      <c r="B258" s="1" t="s">
        <v>778</v>
      </c>
    </row>
    <row r="259" spans="1:2">
      <c r="A259" s="2" t="s">
        <v>225</v>
      </c>
      <c r="B259" s="1" t="s">
        <v>779</v>
      </c>
    </row>
    <row r="260" spans="1:2" ht="28.8">
      <c r="A260" s="2" t="s">
        <v>598</v>
      </c>
      <c r="B260" s="1" t="s">
        <v>826</v>
      </c>
    </row>
    <row r="261" spans="1:2" ht="28.8">
      <c r="A261" s="2" t="s">
        <v>604</v>
      </c>
      <c r="B261" s="1" t="s">
        <v>827</v>
      </c>
    </row>
    <row r="262" spans="1:2">
      <c r="A262" s="2" t="s">
        <v>227</v>
      </c>
      <c r="B262" s="1" t="s">
        <v>828</v>
      </c>
    </row>
    <row r="263" spans="1:2">
      <c r="A263" s="2" t="s">
        <v>132</v>
      </c>
      <c r="B263" s="1" t="s">
        <v>829</v>
      </c>
    </row>
    <row r="264" spans="1:2">
      <c r="A264" s="2" t="s">
        <v>256</v>
      </c>
      <c r="B264" s="1" t="s">
        <v>830</v>
      </c>
    </row>
    <row r="265" spans="1:2" ht="57.6">
      <c r="A265" s="2" t="s">
        <v>584</v>
      </c>
      <c r="B265" s="1" t="s">
        <v>831</v>
      </c>
    </row>
    <row r="266" spans="1:2" ht="43.2">
      <c r="A266" s="2" t="s">
        <v>432</v>
      </c>
      <c r="B266" s="1" t="s">
        <v>757</v>
      </c>
    </row>
    <row r="267" spans="1:2" ht="43.2">
      <c r="A267" s="2" t="s">
        <v>487</v>
      </c>
      <c r="B267" s="1" t="s">
        <v>832</v>
      </c>
    </row>
    <row r="268" spans="1:2" ht="43.2">
      <c r="A268" s="2" t="s">
        <v>437</v>
      </c>
      <c r="B268" s="1" t="s">
        <v>833</v>
      </c>
    </row>
    <row r="269" spans="1:2" ht="28.8">
      <c r="A269" s="2" t="s">
        <v>416</v>
      </c>
      <c r="B269" s="1" t="s">
        <v>834</v>
      </c>
    </row>
    <row r="270" spans="1:2" ht="43.2">
      <c r="A270" s="2" t="s">
        <v>311</v>
      </c>
      <c r="B270" s="1" t="s">
        <v>835</v>
      </c>
    </row>
    <row r="271" spans="1:2">
      <c r="A271" s="2" t="s">
        <v>550</v>
      </c>
      <c r="B271" s="1" t="s">
        <v>836</v>
      </c>
    </row>
    <row r="272" spans="1:2">
      <c r="A272" s="2" t="s">
        <v>444</v>
      </c>
      <c r="B272" s="1" t="s">
        <v>837</v>
      </c>
    </row>
    <row r="273" spans="1:2">
      <c r="A273" s="2" t="s">
        <v>215</v>
      </c>
      <c r="B273" s="1" t="s">
        <v>838</v>
      </c>
    </row>
    <row r="274" spans="1:2">
      <c r="A274" s="2" t="s">
        <v>252</v>
      </c>
      <c r="B274" s="1" t="s">
        <v>839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E554-4D4F-DE4E-9E08-5FCC851544A6}">
  <sheetPr>
    <tabColor rgb="FF7030A0"/>
  </sheetPr>
  <dimension ref="A1:I219"/>
  <sheetViews>
    <sheetView zoomScale="130" zoomScaleNormal="130" workbookViewId="0">
      <selection activeCell="A163" sqref="A163"/>
    </sheetView>
  </sheetViews>
  <sheetFormatPr defaultColWidth="8.77734375" defaultRowHeight="15.6"/>
  <cols>
    <col min="1" max="1" width="40" style="4" customWidth="1"/>
    <col min="2" max="2" width="103.33203125" style="4" customWidth="1"/>
    <col min="3" max="3" width="36.109375" style="4" customWidth="1"/>
    <col min="4" max="4" width="43.109375" style="4" customWidth="1"/>
    <col min="5" max="5" width="22.6640625" style="4" customWidth="1"/>
    <col min="6" max="7" width="14.6640625" style="4" customWidth="1"/>
    <col min="8" max="8" width="6.6640625" style="4" customWidth="1"/>
    <col min="9" max="9" width="12" style="4" customWidth="1"/>
    <col min="10" max="16384" width="8.77734375" style="4"/>
  </cols>
  <sheetData>
    <row r="1" spans="1:9">
      <c r="A1" s="3" t="s">
        <v>295</v>
      </c>
      <c r="B1" s="3" t="s">
        <v>296</v>
      </c>
      <c r="C1" s="3" t="s">
        <v>297</v>
      </c>
      <c r="D1" s="3" t="s">
        <v>298</v>
      </c>
      <c r="E1" s="3" t="s">
        <v>299</v>
      </c>
      <c r="F1" s="3" t="s">
        <v>300</v>
      </c>
      <c r="G1" s="3" t="s">
        <v>1130</v>
      </c>
      <c r="H1" s="3" t="s">
        <v>301</v>
      </c>
      <c r="I1" s="3" t="s">
        <v>302</v>
      </c>
    </row>
    <row r="2" spans="1:9">
      <c r="A2" s="4" t="s">
        <v>120</v>
      </c>
      <c r="B2" s="4" t="s">
        <v>303</v>
      </c>
      <c r="C2" s="4" t="s">
        <v>74</v>
      </c>
      <c r="F2" s="4">
        <v>9.4E-2</v>
      </c>
    </row>
    <row r="3" spans="1:9">
      <c r="A3" s="4" t="s">
        <v>249</v>
      </c>
      <c r="B3" s="4" t="s">
        <v>304</v>
      </c>
      <c r="C3" s="4" t="s">
        <v>74</v>
      </c>
      <c r="F3" s="4">
        <v>9.4E-2</v>
      </c>
    </row>
    <row r="4" spans="1:9">
      <c r="A4" s="4" t="s">
        <v>73</v>
      </c>
      <c r="B4" s="4" t="s">
        <v>305</v>
      </c>
      <c r="C4" s="4" t="s">
        <v>74</v>
      </c>
      <c r="F4" s="4">
        <v>9.4E-2</v>
      </c>
    </row>
    <row r="5" spans="1:9">
      <c r="A5" s="4" t="s">
        <v>253</v>
      </c>
      <c r="B5" s="4" t="s">
        <v>306</v>
      </c>
      <c r="C5" s="4" t="s">
        <v>74</v>
      </c>
      <c r="F5" s="4">
        <v>9.4E-2</v>
      </c>
    </row>
    <row r="6" spans="1:9">
      <c r="A6" s="4" t="s">
        <v>127</v>
      </c>
      <c r="B6" s="4" t="s">
        <v>307</v>
      </c>
      <c r="C6" s="4" t="s">
        <v>74</v>
      </c>
      <c r="F6" s="4">
        <v>9.4E-2</v>
      </c>
    </row>
    <row r="7" spans="1:9">
      <c r="A7" s="4" t="s">
        <v>128</v>
      </c>
      <c r="B7" s="4" t="s">
        <v>308</v>
      </c>
      <c r="C7" s="4" t="s">
        <v>74</v>
      </c>
      <c r="F7" s="4">
        <v>9.4E-2</v>
      </c>
    </row>
    <row r="8" spans="1:9">
      <c r="A8" s="4" t="s">
        <v>172</v>
      </c>
      <c r="B8" s="4" t="s">
        <v>309</v>
      </c>
      <c r="C8" s="4" t="s">
        <v>74</v>
      </c>
      <c r="D8" s="4" t="s">
        <v>310</v>
      </c>
      <c r="F8" s="4">
        <v>0.21691828689811607</v>
      </c>
      <c r="H8" s="4">
        <v>2</v>
      </c>
      <c r="I8" s="4">
        <v>1</v>
      </c>
    </row>
    <row r="9" spans="1:9">
      <c r="A9" s="4" t="s">
        <v>170</v>
      </c>
      <c r="B9" s="4" t="s">
        <v>311</v>
      </c>
      <c r="C9" s="4" t="s">
        <v>74</v>
      </c>
      <c r="F9" s="4">
        <v>0.2172769190119121</v>
      </c>
    </row>
    <row r="10" spans="1:9">
      <c r="A10" s="4" t="s">
        <v>168</v>
      </c>
      <c r="B10" s="4" t="s">
        <v>312</v>
      </c>
      <c r="C10" s="4" t="s">
        <v>74</v>
      </c>
      <c r="D10" s="4" t="s">
        <v>313</v>
      </c>
      <c r="E10" s="4">
        <v>23</v>
      </c>
      <c r="F10" s="4">
        <v>1.5130245068262688E-2</v>
      </c>
      <c r="H10" s="4">
        <v>0</v>
      </c>
      <c r="I10" s="4">
        <v>1</v>
      </c>
    </row>
    <row r="11" spans="1:9">
      <c r="A11" s="4" t="s">
        <v>164</v>
      </c>
      <c r="B11" s="4" t="s">
        <v>314</v>
      </c>
      <c r="C11" s="4" t="s">
        <v>74</v>
      </c>
      <c r="F11" s="4">
        <v>1.1599999999999999</v>
      </c>
    </row>
    <row r="12" spans="1:9">
      <c r="A12" s="4" t="s">
        <v>166</v>
      </c>
      <c r="B12" s="4" t="s">
        <v>315</v>
      </c>
      <c r="C12" s="4" t="s">
        <v>74</v>
      </c>
      <c r="D12" s="4" t="s">
        <v>313</v>
      </c>
      <c r="F12" s="4">
        <v>1.5130245068262688E-2</v>
      </c>
      <c r="H12" s="4">
        <v>0</v>
      </c>
      <c r="I12" s="4">
        <v>1</v>
      </c>
    </row>
    <row r="13" spans="1:9">
      <c r="A13" s="4" t="s">
        <v>316</v>
      </c>
      <c r="B13" s="4" t="s">
        <v>317</v>
      </c>
      <c r="C13" s="4" t="s">
        <v>74</v>
      </c>
      <c r="D13" s="4" t="s">
        <v>318</v>
      </c>
      <c r="E13" s="4">
        <v>18</v>
      </c>
      <c r="F13" s="4">
        <v>1.1373682469786397</v>
      </c>
      <c r="H13" s="4">
        <v>1</v>
      </c>
      <c r="I13" s="4">
        <v>1</v>
      </c>
    </row>
    <row r="14" spans="1:9">
      <c r="A14" s="4" t="s">
        <v>262</v>
      </c>
      <c r="B14" s="4" t="s">
        <v>319</v>
      </c>
      <c r="C14" s="4" t="s">
        <v>74</v>
      </c>
      <c r="D14" s="4" t="s">
        <v>320</v>
      </c>
      <c r="E14" s="4">
        <v>330</v>
      </c>
      <c r="F14" s="4">
        <v>272.9580220327901</v>
      </c>
      <c r="H14" s="4">
        <v>4</v>
      </c>
      <c r="I14" s="4">
        <v>3</v>
      </c>
    </row>
    <row r="15" spans="1:9">
      <c r="A15" s="4" t="s">
        <v>22</v>
      </c>
      <c r="B15" s="4" t="s">
        <v>321</v>
      </c>
      <c r="C15" s="4" t="s">
        <v>17</v>
      </c>
      <c r="F15" s="4">
        <v>4.17</v>
      </c>
    </row>
    <row r="16" spans="1:9">
      <c r="A16" s="4" t="s">
        <v>24</v>
      </c>
      <c r="B16" s="4" t="s">
        <v>322</v>
      </c>
      <c r="C16" s="4" t="s">
        <v>17</v>
      </c>
      <c r="F16" s="4">
        <v>0.248529494536535</v>
      </c>
    </row>
    <row r="17" spans="1:9">
      <c r="A17" s="4" t="s">
        <v>323</v>
      </c>
      <c r="B17" s="4" t="s">
        <v>324</v>
      </c>
      <c r="C17" s="4" t="s">
        <v>17</v>
      </c>
      <c r="D17" s="4" t="s">
        <v>313</v>
      </c>
      <c r="E17" s="4">
        <v>19560</v>
      </c>
      <c r="F17" s="4">
        <v>5.2529935346168033</v>
      </c>
      <c r="H17" s="4">
        <v>1</v>
      </c>
      <c r="I17" s="4">
        <v>1</v>
      </c>
    </row>
    <row r="18" spans="1:9">
      <c r="A18" s="4" t="s">
        <v>58</v>
      </c>
      <c r="B18" s="4" t="s">
        <v>325</v>
      </c>
      <c r="C18" s="4" t="s">
        <v>17</v>
      </c>
      <c r="D18" s="4" t="s">
        <v>326</v>
      </c>
      <c r="E18" s="4">
        <v>13</v>
      </c>
      <c r="F18" s="4">
        <v>8.3081131621527771</v>
      </c>
      <c r="H18" s="4">
        <v>2</v>
      </c>
      <c r="I18" s="4">
        <v>2</v>
      </c>
    </row>
    <row r="19" spans="1:9">
      <c r="A19" s="4" t="s">
        <v>62</v>
      </c>
      <c r="B19" s="4" t="s">
        <v>327</v>
      </c>
      <c r="C19" s="4" t="s">
        <v>17</v>
      </c>
      <c r="D19" s="4" t="s">
        <v>310</v>
      </c>
      <c r="E19" s="4">
        <v>2400</v>
      </c>
      <c r="F19" s="4">
        <v>18.281984246694059</v>
      </c>
      <c r="H19" s="4">
        <v>4</v>
      </c>
      <c r="I19" s="4">
        <v>1</v>
      </c>
    </row>
    <row r="20" spans="1:9">
      <c r="A20" s="4" t="s">
        <v>328</v>
      </c>
      <c r="B20" s="4" t="s">
        <v>329</v>
      </c>
      <c r="C20" s="4" t="s">
        <v>17</v>
      </c>
      <c r="D20" s="4" t="s">
        <v>330</v>
      </c>
      <c r="E20" s="4">
        <v>175</v>
      </c>
      <c r="F20" s="4">
        <v>2.3558327287917193</v>
      </c>
      <c r="H20" s="4">
        <v>2</v>
      </c>
      <c r="I20" s="4">
        <v>1</v>
      </c>
    </row>
    <row r="21" spans="1:9">
      <c r="A21" s="4" t="s">
        <v>72</v>
      </c>
      <c r="B21" s="4" t="s">
        <v>331</v>
      </c>
      <c r="C21" s="4" t="s">
        <v>17</v>
      </c>
      <c r="D21" s="4" t="s">
        <v>332</v>
      </c>
      <c r="E21" s="4">
        <v>237.02</v>
      </c>
      <c r="F21" s="4">
        <v>0.118814539054747</v>
      </c>
      <c r="H21" s="4">
        <v>2</v>
      </c>
      <c r="I21" s="4">
        <v>2</v>
      </c>
    </row>
    <row r="22" spans="1:9">
      <c r="A22" s="4" t="s">
        <v>16</v>
      </c>
      <c r="B22" s="4" t="s">
        <v>333</v>
      </c>
      <c r="C22" s="4" t="s">
        <v>17</v>
      </c>
      <c r="D22" s="4" t="s">
        <v>334</v>
      </c>
      <c r="E22" s="4">
        <v>32</v>
      </c>
      <c r="F22" s="4">
        <v>47.662070827236811</v>
      </c>
      <c r="H22" s="4">
        <v>4</v>
      </c>
      <c r="I22" s="4">
        <v>1</v>
      </c>
    </row>
    <row r="23" spans="1:9">
      <c r="A23" s="4" t="s">
        <v>134</v>
      </c>
      <c r="B23" s="4" t="s">
        <v>335</v>
      </c>
      <c r="C23" s="4" t="s">
        <v>17</v>
      </c>
      <c r="D23" s="4" t="s">
        <v>326</v>
      </c>
      <c r="F23" s="4">
        <v>8.9096486099157115</v>
      </c>
      <c r="H23" s="4">
        <v>3</v>
      </c>
      <c r="I23" s="4">
        <v>2</v>
      </c>
    </row>
    <row r="24" spans="1:9">
      <c r="A24" s="4" t="s">
        <v>336</v>
      </c>
      <c r="B24" s="4" t="s">
        <v>337</v>
      </c>
      <c r="C24" s="4" t="s">
        <v>17</v>
      </c>
      <c r="D24" s="4" t="s">
        <v>313</v>
      </c>
      <c r="F24" s="4">
        <v>5.2529935346168033</v>
      </c>
      <c r="H24" s="4">
        <v>1</v>
      </c>
      <c r="I24" s="4">
        <v>1</v>
      </c>
    </row>
    <row r="25" spans="1:9">
      <c r="A25" s="4" t="s">
        <v>338</v>
      </c>
      <c r="B25" s="4" t="s">
        <v>339</v>
      </c>
      <c r="C25" s="4" t="s">
        <v>17</v>
      </c>
      <c r="D25" s="4" t="s">
        <v>318</v>
      </c>
      <c r="E25" s="4">
        <v>63</v>
      </c>
      <c r="F25" s="4">
        <v>171.59430847972808</v>
      </c>
      <c r="H25" s="4">
        <v>5</v>
      </c>
      <c r="I25" s="4">
        <v>1</v>
      </c>
    </row>
    <row r="26" spans="1:9">
      <c r="A26" s="4" t="s">
        <v>340</v>
      </c>
      <c r="B26" s="4" t="s">
        <v>341</v>
      </c>
      <c r="C26" s="4" t="s">
        <v>17</v>
      </c>
      <c r="F26" s="4">
        <v>0.21691828689811607</v>
      </c>
    </row>
    <row r="27" spans="1:9">
      <c r="A27" s="4" t="s">
        <v>90</v>
      </c>
      <c r="B27" s="4" t="s">
        <v>342</v>
      </c>
      <c r="C27" s="4" t="s">
        <v>17</v>
      </c>
      <c r="D27" s="4" t="s">
        <v>343</v>
      </c>
      <c r="E27" s="4">
        <v>2908</v>
      </c>
      <c r="F27" s="4">
        <v>0.21691828689811607</v>
      </c>
      <c r="H27" s="4">
        <v>1</v>
      </c>
      <c r="I27" s="4">
        <v>1</v>
      </c>
    </row>
    <row r="28" spans="1:9">
      <c r="A28" s="4" t="s">
        <v>344</v>
      </c>
      <c r="B28" s="4" t="s">
        <v>344</v>
      </c>
      <c r="C28" s="4" t="s">
        <v>17</v>
      </c>
      <c r="D28" s="4" t="s">
        <v>345</v>
      </c>
      <c r="F28" s="4">
        <v>0.5</v>
      </c>
      <c r="H28" s="4">
        <v>0</v>
      </c>
      <c r="I28" s="4">
        <v>1</v>
      </c>
    </row>
    <row r="29" spans="1:9">
      <c r="A29" s="4" t="s">
        <v>92</v>
      </c>
      <c r="B29" s="4" t="s">
        <v>346</v>
      </c>
      <c r="C29" s="4" t="s">
        <v>17</v>
      </c>
      <c r="D29" s="4" t="s">
        <v>347</v>
      </c>
      <c r="E29" s="4">
        <v>95</v>
      </c>
      <c r="F29" s="4">
        <v>4.2925946792905298</v>
      </c>
      <c r="H29" s="4">
        <v>3</v>
      </c>
      <c r="I29" s="4">
        <v>1</v>
      </c>
    </row>
    <row r="30" spans="1:9">
      <c r="A30" s="4" t="s">
        <v>348</v>
      </c>
      <c r="B30" s="4" t="s">
        <v>349</v>
      </c>
      <c r="C30" s="4" t="s">
        <v>17</v>
      </c>
      <c r="D30" s="4" t="s">
        <v>350</v>
      </c>
      <c r="F30" s="4">
        <v>5.2529935346168033</v>
      </c>
      <c r="H30" s="4">
        <v>1</v>
      </c>
      <c r="I30" s="4">
        <v>1</v>
      </c>
    </row>
    <row r="31" spans="1:9">
      <c r="A31" s="4" t="s">
        <v>351</v>
      </c>
      <c r="B31" s="4" t="s">
        <v>352</v>
      </c>
      <c r="C31" s="4" t="s">
        <v>17</v>
      </c>
      <c r="D31" s="4" t="s">
        <v>330</v>
      </c>
      <c r="F31" s="4">
        <v>0.63500000000000001</v>
      </c>
      <c r="H31" s="4">
        <v>2</v>
      </c>
      <c r="I31" s="4">
        <v>1</v>
      </c>
    </row>
    <row r="32" spans="1:9">
      <c r="A32" s="4" t="s">
        <v>241</v>
      </c>
      <c r="B32" s="4" t="s">
        <v>353</v>
      </c>
      <c r="C32" s="4" t="s">
        <v>17</v>
      </c>
      <c r="D32" s="4" t="s">
        <v>313</v>
      </c>
      <c r="E32" s="4">
        <v>1</v>
      </c>
      <c r="F32" s="4">
        <v>5.2529935346168033</v>
      </c>
      <c r="H32" s="4">
        <v>1</v>
      </c>
      <c r="I32" s="4">
        <v>1</v>
      </c>
    </row>
    <row r="33" spans="1:9">
      <c r="A33" s="4" t="s">
        <v>354</v>
      </c>
      <c r="B33" s="4" t="s">
        <v>355</v>
      </c>
      <c r="C33" s="4" t="s">
        <v>17</v>
      </c>
      <c r="D33" s="4" t="s">
        <v>310</v>
      </c>
      <c r="E33" s="4">
        <v>1186</v>
      </c>
      <c r="F33" s="4">
        <v>0.248529494536535</v>
      </c>
      <c r="H33" s="4">
        <v>2</v>
      </c>
      <c r="I33" s="4">
        <v>1</v>
      </c>
    </row>
    <row r="34" spans="1:9">
      <c r="A34" s="4" t="s">
        <v>356</v>
      </c>
      <c r="B34" s="4" t="s">
        <v>357</v>
      </c>
      <c r="C34" s="4" t="s">
        <v>17</v>
      </c>
      <c r="D34" s="4" t="s">
        <v>310</v>
      </c>
      <c r="E34" s="4">
        <v>1400</v>
      </c>
      <c r="F34" s="4">
        <v>4.9445642275071053</v>
      </c>
      <c r="H34" s="4">
        <v>3</v>
      </c>
      <c r="I34" s="4">
        <v>1</v>
      </c>
    </row>
    <row r="35" spans="1:9">
      <c r="A35" s="4" t="s">
        <v>117</v>
      </c>
      <c r="B35" s="4" t="s">
        <v>358</v>
      </c>
      <c r="C35" s="4" t="s">
        <v>17</v>
      </c>
      <c r="F35" s="4">
        <v>9.4E-2</v>
      </c>
    </row>
    <row r="36" spans="1:9">
      <c r="A36" s="4" t="s">
        <v>81</v>
      </c>
      <c r="B36" s="4" t="s">
        <v>359</v>
      </c>
      <c r="C36" s="4" t="s">
        <v>17</v>
      </c>
      <c r="D36" s="4" t="s">
        <v>330</v>
      </c>
      <c r="E36" s="4">
        <v>31</v>
      </c>
      <c r="F36" s="4">
        <v>3.0509432572250312</v>
      </c>
      <c r="H36" s="4">
        <v>3</v>
      </c>
      <c r="I36" s="4">
        <v>1</v>
      </c>
    </row>
    <row r="37" spans="1:9">
      <c r="A37" s="4" t="s">
        <v>360</v>
      </c>
      <c r="B37" s="4" t="s">
        <v>361</v>
      </c>
      <c r="C37" s="4" t="s">
        <v>17</v>
      </c>
      <c r="D37" s="4" t="s">
        <v>343</v>
      </c>
      <c r="F37" s="4">
        <v>0.21691828689811607</v>
      </c>
      <c r="H37" s="4">
        <v>1</v>
      </c>
      <c r="I37" s="4">
        <v>1</v>
      </c>
    </row>
    <row r="38" spans="1:9">
      <c r="A38" s="4" t="s">
        <v>197</v>
      </c>
      <c r="B38" s="4" t="s">
        <v>362</v>
      </c>
      <c r="C38" s="4" t="s">
        <v>17</v>
      </c>
      <c r="D38" s="4" t="s">
        <v>330</v>
      </c>
      <c r="E38" s="4">
        <v>93</v>
      </c>
      <c r="F38" s="4">
        <v>2.4124539576553481</v>
      </c>
      <c r="H38" s="4">
        <v>3</v>
      </c>
      <c r="I38" s="4">
        <v>1</v>
      </c>
    </row>
    <row r="39" spans="1:9">
      <c r="A39" s="4" t="s">
        <v>123</v>
      </c>
      <c r="B39" s="4" t="s">
        <v>363</v>
      </c>
      <c r="C39" s="4" t="s">
        <v>17</v>
      </c>
      <c r="D39" s="4" t="s">
        <v>330</v>
      </c>
      <c r="E39" s="4">
        <v>54</v>
      </c>
      <c r="F39" s="4">
        <v>0.52964517770802444</v>
      </c>
      <c r="H39" s="4">
        <v>1</v>
      </c>
      <c r="I39" s="4">
        <v>1</v>
      </c>
    </row>
    <row r="40" spans="1:9">
      <c r="A40" s="4" t="s">
        <v>364</v>
      </c>
      <c r="B40" s="4" t="s">
        <v>365</v>
      </c>
      <c r="C40" s="4" t="s">
        <v>17</v>
      </c>
      <c r="D40" s="4" t="s">
        <v>330</v>
      </c>
      <c r="E40" s="4">
        <v>49</v>
      </c>
      <c r="F40" s="4">
        <v>0.48827628906858322</v>
      </c>
      <c r="H40" s="4">
        <v>1</v>
      </c>
      <c r="I40" s="4">
        <v>1</v>
      </c>
    </row>
    <row r="41" spans="1:9">
      <c r="A41" s="4" t="s">
        <v>140</v>
      </c>
      <c r="B41" s="4" t="s">
        <v>366</v>
      </c>
      <c r="C41" s="4" t="s">
        <v>17</v>
      </c>
      <c r="D41" s="4" t="s">
        <v>330</v>
      </c>
      <c r="E41" s="4">
        <v>49</v>
      </c>
      <c r="F41" s="4">
        <v>0.4495242026345686</v>
      </c>
      <c r="H41" s="4">
        <v>1</v>
      </c>
      <c r="I41" s="4">
        <v>1</v>
      </c>
    </row>
    <row r="42" spans="1:9">
      <c r="A42" s="4" t="s">
        <v>201</v>
      </c>
      <c r="B42" s="4" t="s">
        <v>367</v>
      </c>
      <c r="C42" s="4" t="s">
        <v>17</v>
      </c>
      <c r="D42" s="4" t="s">
        <v>330</v>
      </c>
      <c r="E42" s="4">
        <v>6</v>
      </c>
      <c r="F42" s="4">
        <v>2.0230000000000001E-2</v>
      </c>
      <c r="H42" s="4">
        <v>2</v>
      </c>
      <c r="I42" s="4">
        <v>1</v>
      </c>
    </row>
    <row r="43" spans="1:9">
      <c r="A43" s="4" t="s">
        <v>54</v>
      </c>
      <c r="B43" s="4" t="s">
        <v>368</v>
      </c>
      <c r="C43" s="4" t="s">
        <v>17</v>
      </c>
      <c r="D43" s="4" t="s">
        <v>330</v>
      </c>
      <c r="E43" s="4">
        <v>6</v>
      </c>
      <c r="F43" s="4">
        <v>1.7790273640275014</v>
      </c>
      <c r="H43" s="4">
        <v>1</v>
      </c>
      <c r="I43" s="4">
        <v>1</v>
      </c>
    </row>
    <row r="44" spans="1:9">
      <c r="A44" s="4" t="s">
        <v>109</v>
      </c>
      <c r="B44" s="4" t="s">
        <v>369</v>
      </c>
      <c r="C44" s="4" t="s">
        <v>17</v>
      </c>
      <c r="F44" s="4">
        <v>9.4E-2</v>
      </c>
    </row>
    <row r="45" spans="1:9">
      <c r="A45" s="4" t="s">
        <v>370</v>
      </c>
      <c r="B45" s="4" t="s">
        <v>371</v>
      </c>
      <c r="C45" s="4" t="s">
        <v>17</v>
      </c>
      <c r="D45" s="4" t="s">
        <v>330</v>
      </c>
      <c r="E45" s="4">
        <v>49</v>
      </c>
      <c r="F45" s="4">
        <v>20.946845798236545</v>
      </c>
      <c r="H45" s="4">
        <v>3</v>
      </c>
      <c r="I45" s="4">
        <v>1</v>
      </c>
    </row>
    <row r="46" spans="1:9">
      <c r="A46" s="4" t="s">
        <v>372</v>
      </c>
      <c r="B46" s="4" t="s">
        <v>373</v>
      </c>
      <c r="C46" s="4" t="s">
        <v>17</v>
      </c>
      <c r="D46" s="4" t="s">
        <v>313</v>
      </c>
      <c r="F46" s="4">
        <v>5.2529935346168033</v>
      </c>
      <c r="H46" s="4">
        <v>1</v>
      </c>
      <c r="I46" s="4">
        <v>1</v>
      </c>
    </row>
    <row r="47" spans="1:9">
      <c r="A47" s="4" t="s">
        <v>374</v>
      </c>
      <c r="B47" s="4" t="s">
        <v>375</v>
      </c>
      <c r="C47" s="4" t="s">
        <v>17</v>
      </c>
      <c r="F47" s="4">
        <v>3</v>
      </c>
    </row>
    <row r="48" spans="1:9">
      <c r="A48" s="4" t="s">
        <v>152</v>
      </c>
      <c r="B48" s="4" t="s">
        <v>376</v>
      </c>
      <c r="C48" s="4" t="s">
        <v>17</v>
      </c>
      <c r="D48" s="4" t="s">
        <v>377</v>
      </c>
      <c r="E48" s="4">
        <v>0.05</v>
      </c>
      <c r="F48" s="4">
        <v>8.2514989228512476</v>
      </c>
      <c r="H48" s="4">
        <v>4</v>
      </c>
      <c r="I48" s="4">
        <v>3</v>
      </c>
    </row>
    <row r="49" spans="1:9">
      <c r="A49" s="4" t="s">
        <v>154</v>
      </c>
      <c r="B49" s="4" t="s">
        <v>378</v>
      </c>
      <c r="C49" s="4" t="s">
        <v>17</v>
      </c>
      <c r="D49" s="4" t="s">
        <v>318</v>
      </c>
      <c r="F49" s="4">
        <v>5.2529935346168033</v>
      </c>
      <c r="H49" s="4">
        <v>2</v>
      </c>
      <c r="I49" s="4">
        <v>1</v>
      </c>
    </row>
    <row r="50" spans="1:9">
      <c r="A50" s="4" t="s">
        <v>162</v>
      </c>
      <c r="B50" s="4" t="s">
        <v>379</v>
      </c>
      <c r="C50" s="4" t="s">
        <v>17</v>
      </c>
      <c r="D50" s="4" t="s">
        <v>318</v>
      </c>
      <c r="E50" s="4">
        <v>11</v>
      </c>
      <c r="F50" s="4">
        <v>0.4546559785461225</v>
      </c>
      <c r="H50" s="4">
        <v>1</v>
      </c>
      <c r="I50" s="4">
        <v>1</v>
      </c>
    </row>
    <row r="51" spans="1:9">
      <c r="A51" s="4" t="s">
        <v>380</v>
      </c>
      <c r="B51" s="4" t="s">
        <v>381</v>
      </c>
      <c r="C51" s="4" t="s">
        <v>17</v>
      </c>
      <c r="D51" s="4" t="s">
        <v>330</v>
      </c>
      <c r="E51" s="4">
        <v>6</v>
      </c>
      <c r="F51" s="4">
        <v>0.80994758485579355</v>
      </c>
      <c r="H51" s="4">
        <v>1</v>
      </c>
      <c r="I51" s="4">
        <v>1</v>
      </c>
    </row>
    <row r="52" spans="1:9">
      <c r="A52" s="4" t="s">
        <v>382</v>
      </c>
      <c r="B52" s="4" t="s">
        <v>383</v>
      </c>
      <c r="C52" s="4" t="s">
        <v>17</v>
      </c>
      <c r="D52" s="4" t="s">
        <v>330</v>
      </c>
      <c r="E52" s="4">
        <v>76</v>
      </c>
      <c r="F52" s="4">
        <v>0.35823210058869914</v>
      </c>
      <c r="H52" s="4">
        <v>1</v>
      </c>
      <c r="I52" s="4">
        <v>1</v>
      </c>
    </row>
    <row r="53" spans="1:9">
      <c r="A53" s="4" t="s">
        <v>384</v>
      </c>
      <c r="B53" s="4" t="s">
        <v>385</v>
      </c>
      <c r="C53" s="4" t="s">
        <v>17</v>
      </c>
      <c r="D53" s="4" t="s">
        <v>343</v>
      </c>
      <c r="F53" s="4">
        <v>3.0219082286381651</v>
      </c>
      <c r="H53" s="4">
        <v>2</v>
      </c>
      <c r="I53" s="4">
        <v>1</v>
      </c>
    </row>
    <row r="54" spans="1:9">
      <c r="A54" s="4" t="s">
        <v>193</v>
      </c>
      <c r="B54" s="4" t="s">
        <v>193</v>
      </c>
      <c r="C54" s="4" t="s">
        <v>17</v>
      </c>
      <c r="D54" s="4" t="s">
        <v>326</v>
      </c>
      <c r="E54" s="4">
        <v>103</v>
      </c>
      <c r="F54" s="4">
        <v>10.5</v>
      </c>
      <c r="H54" s="4">
        <v>2</v>
      </c>
      <c r="I54" s="4">
        <v>2</v>
      </c>
    </row>
    <row r="55" spans="1:9">
      <c r="A55" s="4" t="s">
        <v>386</v>
      </c>
      <c r="B55" s="4" t="s">
        <v>387</v>
      </c>
      <c r="C55" s="4" t="s">
        <v>17</v>
      </c>
      <c r="D55" s="4" t="s">
        <v>313</v>
      </c>
      <c r="F55" s="4">
        <v>5.2529935346168033</v>
      </c>
      <c r="H55" s="4">
        <v>1</v>
      </c>
      <c r="I55" s="4">
        <v>1</v>
      </c>
    </row>
    <row r="56" spans="1:9">
      <c r="A56" s="4" t="s">
        <v>202</v>
      </c>
      <c r="B56" s="4" t="s">
        <v>388</v>
      </c>
      <c r="C56" s="4" t="s">
        <v>17</v>
      </c>
      <c r="D56" s="4" t="s">
        <v>334</v>
      </c>
      <c r="E56" s="4">
        <v>1206</v>
      </c>
      <c r="F56" s="4">
        <v>0.118814539054747</v>
      </c>
      <c r="H56" s="4">
        <v>1</v>
      </c>
      <c r="I56" s="4">
        <v>1</v>
      </c>
    </row>
    <row r="57" spans="1:9">
      <c r="A57" s="4" t="s">
        <v>389</v>
      </c>
      <c r="B57" s="4" t="s">
        <v>390</v>
      </c>
      <c r="C57" s="4" t="s">
        <v>17</v>
      </c>
      <c r="D57" s="4" t="s">
        <v>313</v>
      </c>
      <c r="F57" s="4">
        <v>5.2529935346168033</v>
      </c>
      <c r="H57" s="4">
        <v>1</v>
      </c>
      <c r="I57" s="4">
        <v>1</v>
      </c>
    </row>
    <row r="58" spans="1:9">
      <c r="A58" s="4" t="s">
        <v>204</v>
      </c>
      <c r="B58" s="4" t="s">
        <v>391</v>
      </c>
      <c r="C58" s="4" t="s">
        <v>17</v>
      </c>
      <c r="D58" s="4" t="s">
        <v>310</v>
      </c>
      <c r="E58" s="4">
        <v>1</v>
      </c>
      <c r="F58" s="4">
        <v>1.7038647869188983</v>
      </c>
      <c r="H58" s="4">
        <v>2</v>
      </c>
      <c r="I58" s="4">
        <v>1</v>
      </c>
    </row>
    <row r="59" spans="1:9">
      <c r="A59" s="4" t="s">
        <v>68</v>
      </c>
      <c r="B59" s="4" t="s">
        <v>392</v>
      </c>
      <c r="C59" s="4" t="s">
        <v>17</v>
      </c>
      <c r="D59" s="4" t="s">
        <v>310</v>
      </c>
      <c r="E59" s="4">
        <v>64</v>
      </c>
      <c r="F59" s="4">
        <v>80.443131461033275</v>
      </c>
      <c r="H59" s="4">
        <v>5</v>
      </c>
      <c r="I59" s="4">
        <v>1</v>
      </c>
    </row>
    <row r="60" spans="1:9">
      <c r="A60" s="4" t="s">
        <v>393</v>
      </c>
      <c r="B60" s="4" t="s">
        <v>394</v>
      </c>
      <c r="C60" s="4" t="s">
        <v>17</v>
      </c>
      <c r="D60" s="4" t="s">
        <v>395</v>
      </c>
      <c r="E60" s="4">
        <v>3324</v>
      </c>
      <c r="F60" s="4">
        <v>5.3019999999999996</v>
      </c>
      <c r="H60" s="4">
        <v>3</v>
      </c>
      <c r="I60" s="4">
        <v>2</v>
      </c>
    </row>
    <row r="61" spans="1:9">
      <c r="A61" s="4" t="s">
        <v>142</v>
      </c>
      <c r="B61" s="4" t="s">
        <v>396</v>
      </c>
      <c r="C61" s="4" t="s">
        <v>17</v>
      </c>
      <c r="D61" s="4" t="s">
        <v>334</v>
      </c>
      <c r="E61" s="4">
        <v>285</v>
      </c>
      <c r="F61" s="4">
        <v>5.5264999999999995</v>
      </c>
      <c r="H61" s="4">
        <v>2</v>
      </c>
      <c r="I61" s="4">
        <v>1</v>
      </c>
    </row>
    <row r="62" spans="1:9">
      <c r="A62" s="4" t="s">
        <v>288</v>
      </c>
      <c r="B62" s="4" t="s">
        <v>397</v>
      </c>
      <c r="C62" s="4" t="s">
        <v>17</v>
      </c>
      <c r="D62" s="4" t="s">
        <v>334</v>
      </c>
      <c r="E62" s="4">
        <v>88</v>
      </c>
      <c r="F62" s="4">
        <v>2.0609322772375127</v>
      </c>
      <c r="H62" s="4">
        <v>1</v>
      </c>
      <c r="I62" s="4">
        <v>1</v>
      </c>
    </row>
    <row r="63" spans="1:9">
      <c r="A63" s="4" t="s">
        <v>235</v>
      </c>
      <c r="B63" s="4" t="s">
        <v>235</v>
      </c>
      <c r="C63" s="4" t="s">
        <v>17</v>
      </c>
      <c r="D63" s="4" t="s">
        <v>326</v>
      </c>
      <c r="F63" s="4">
        <v>10.5</v>
      </c>
      <c r="H63" s="4">
        <v>2</v>
      </c>
      <c r="I63" s="4">
        <v>2</v>
      </c>
    </row>
    <row r="64" spans="1:9">
      <c r="A64" s="4" t="s">
        <v>264</v>
      </c>
      <c r="B64" s="4" t="s">
        <v>398</v>
      </c>
      <c r="C64" s="4" t="s">
        <v>17</v>
      </c>
      <c r="D64" s="4" t="s">
        <v>320</v>
      </c>
      <c r="F64" s="4">
        <v>2.1640023560422481</v>
      </c>
      <c r="H64" s="4">
        <v>1</v>
      </c>
      <c r="I64" s="4">
        <v>3</v>
      </c>
    </row>
    <row r="65" spans="1:9">
      <c r="A65" s="4" t="s">
        <v>399</v>
      </c>
      <c r="B65" s="4" t="s">
        <v>399</v>
      </c>
      <c r="C65" s="4" t="s">
        <v>17</v>
      </c>
      <c r="D65" s="4" t="s">
        <v>400</v>
      </c>
      <c r="E65" s="4">
        <v>242</v>
      </c>
      <c r="F65" s="4">
        <v>9.1430085225198408</v>
      </c>
      <c r="H65" s="4">
        <v>1</v>
      </c>
      <c r="I65" s="4">
        <v>1</v>
      </c>
    </row>
    <row r="66" spans="1:9">
      <c r="A66" s="4" t="s">
        <v>401</v>
      </c>
      <c r="B66" s="4" t="s">
        <v>402</v>
      </c>
      <c r="C66" s="4" t="s">
        <v>17</v>
      </c>
      <c r="E66" s="4">
        <v>742</v>
      </c>
      <c r="F66" s="4">
        <v>3</v>
      </c>
    </row>
    <row r="67" spans="1:9">
      <c r="A67" s="4" t="s">
        <v>403</v>
      </c>
      <c r="B67" s="4" t="s">
        <v>403</v>
      </c>
      <c r="C67" s="4" t="s">
        <v>17</v>
      </c>
      <c r="D67" s="4" t="s">
        <v>404</v>
      </c>
      <c r="F67" s="4">
        <v>0.14000000000000001</v>
      </c>
      <c r="H67" s="4">
        <v>0</v>
      </c>
      <c r="I67" s="4">
        <v>1</v>
      </c>
    </row>
    <row r="68" spans="1:9">
      <c r="A68" s="4" t="s">
        <v>268</v>
      </c>
      <c r="B68" s="4" t="s">
        <v>405</v>
      </c>
      <c r="C68" s="4" t="s">
        <v>17</v>
      </c>
      <c r="D68" s="4" t="s">
        <v>406</v>
      </c>
      <c r="E68" s="4">
        <v>1830</v>
      </c>
      <c r="F68" s="4">
        <v>0.7</v>
      </c>
      <c r="H68" s="4">
        <v>1</v>
      </c>
      <c r="I68" s="4">
        <v>3</v>
      </c>
    </row>
    <row r="69" spans="1:9">
      <c r="A69" s="4" t="s">
        <v>407</v>
      </c>
      <c r="B69" s="4" t="s">
        <v>408</v>
      </c>
      <c r="C69" s="4" t="s">
        <v>17</v>
      </c>
      <c r="D69" s="4" t="s">
        <v>318</v>
      </c>
      <c r="E69" s="4">
        <v>324</v>
      </c>
      <c r="F69" s="4">
        <v>2.8255201523976186</v>
      </c>
      <c r="H69" s="4">
        <v>2</v>
      </c>
      <c r="I69" s="4">
        <v>1</v>
      </c>
    </row>
    <row r="70" spans="1:9">
      <c r="A70" s="4" t="s">
        <v>409</v>
      </c>
      <c r="B70" s="4" t="s">
        <v>410</v>
      </c>
      <c r="C70" s="4" t="s">
        <v>17</v>
      </c>
      <c r="D70" s="4" t="s">
        <v>313</v>
      </c>
      <c r="F70" s="4">
        <v>5.2529935346168033</v>
      </c>
      <c r="H70" s="4">
        <v>1</v>
      </c>
      <c r="I70" s="4">
        <v>1</v>
      </c>
    </row>
    <row r="71" spans="1:9">
      <c r="A71" s="4" t="s">
        <v>411</v>
      </c>
      <c r="B71" s="4" t="s">
        <v>412</v>
      </c>
      <c r="C71" s="4" t="s">
        <v>17</v>
      </c>
      <c r="D71" s="4" t="s">
        <v>313</v>
      </c>
      <c r="E71" s="4">
        <v>1</v>
      </c>
      <c r="F71" s="4">
        <v>5.2529935346168033</v>
      </c>
      <c r="H71" s="4">
        <v>1</v>
      </c>
      <c r="I71" s="4">
        <v>1</v>
      </c>
    </row>
    <row r="72" spans="1:9">
      <c r="A72" s="4" t="s">
        <v>413</v>
      </c>
      <c r="B72" s="4" t="s">
        <v>414</v>
      </c>
      <c r="C72" s="4" t="s">
        <v>17</v>
      </c>
      <c r="D72" s="4" t="s">
        <v>415</v>
      </c>
      <c r="E72" s="4">
        <v>3276</v>
      </c>
      <c r="F72" s="4">
        <v>0.6</v>
      </c>
      <c r="H72" s="4">
        <v>1</v>
      </c>
      <c r="I72" s="4">
        <v>1</v>
      </c>
    </row>
    <row r="73" spans="1:9">
      <c r="A73" s="4" t="s">
        <v>290</v>
      </c>
      <c r="B73" s="4" t="s">
        <v>416</v>
      </c>
      <c r="C73" s="4" t="s">
        <v>17</v>
      </c>
      <c r="D73" s="4" t="s">
        <v>347</v>
      </c>
      <c r="F73" s="4">
        <v>0.41942359295556153</v>
      </c>
      <c r="H73" s="4">
        <v>2</v>
      </c>
      <c r="I73" s="4">
        <v>1</v>
      </c>
    </row>
    <row r="74" spans="1:9">
      <c r="A74" s="4" t="s">
        <v>28</v>
      </c>
      <c r="B74" s="4" t="s">
        <v>417</v>
      </c>
      <c r="C74" s="4" t="s">
        <v>29</v>
      </c>
      <c r="D74" s="4" t="s">
        <v>310</v>
      </c>
      <c r="E74" s="4">
        <v>64</v>
      </c>
      <c r="F74" s="4">
        <v>196.47598722309527</v>
      </c>
      <c r="H74" s="4">
        <v>5</v>
      </c>
      <c r="I74" s="4">
        <v>1</v>
      </c>
    </row>
    <row r="75" spans="1:9">
      <c r="A75" s="4" t="s">
        <v>418</v>
      </c>
      <c r="B75" s="4" t="s">
        <v>419</v>
      </c>
      <c r="C75" s="4" t="s">
        <v>29</v>
      </c>
      <c r="D75" s="4" t="s">
        <v>350</v>
      </c>
      <c r="F75" s="4">
        <v>4.6867967066306457</v>
      </c>
      <c r="H75" s="4">
        <v>1</v>
      </c>
      <c r="I75" s="4">
        <v>1</v>
      </c>
    </row>
    <row r="76" spans="1:9">
      <c r="A76" s="4" t="s">
        <v>420</v>
      </c>
      <c r="B76" s="4" t="s">
        <v>421</v>
      </c>
      <c r="C76" s="4" t="s">
        <v>29</v>
      </c>
      <c r="D76" s="4" t="s">
        <v>422</v>
      </c>
      <c r="F76" s="4">
        <v>0.67</v>
      </c>
      <c r="H76" s="4">
        <v>1</v>
      </c>
      <c r="I76" s="4">
        <v>2</v>
      </c>
    </row>
    <row r="77" spans="1:9">
      <c r="A77" s="4" t="s">
        <v>35</v>
      </c>
      <c r="B77" s="4" t="s">
        <v>423</v>
      </c>
      <c r="C77" s="4" t="s">
        <v>29</v>
      </c>
      <c r="D77" s="4" t="s">
        <v>313</v>
      </c>
      <c r="E77" s="4">
        <v>5968</v>
      </c>
      <c r="F77" s="4">
        <v>5.2529935346168033</v>
      </c>
      <c r="H77" s="4">
        <v>1</v>
      </c>
      <c r="I77" s="4">
        <v>1</v>
      </c>
    </row>
    <row r="78" spans="1:9">
      <c r="A78" s="4" t="s">
        <v>424</v>
      </c>
      <c r="B78" s="4" t="s">
        <v>425</v>
      </c>
      <c r="C78" s="4" t="s">
        <v>29</v>
      </c>
      <c r="D78" s="4" t="s">
        <v>426</v>
      </c>
      <c r="F78" s="4">
        <v>7.6419917665766146</v>
      </c>
      <c r="H78" s="4">
        <v>1</v>
      </c>
      <c r="I78" s="4">
        <v>2</v>
      </c>
    </row>
    <row r="79" spans="1:9">
      <c r="A79" s="4" t="s">
        <v>75</v>
      </c>
      <c r="B79" s="4" t="s">
        <v>75</v>
      </c>
      <c r="C79" s="4" t="s">
        <v>29</v>
      </c>
      <c r="D79" s="4" t="s">
        <v>427</v>
      </c>
      <c r="F79" s="4">
        <v>16.122124895711178</v>
      </c>
      <c r="H79" s="4">
        <v>3</v>
      </c>
      <c r="I79" s="4">
        <v>1</v>
      </c>
    </row>
    <row r="80" spans="1:9">
      <c r="A80" s="4" t="s">
        <v>136</v>
      </c>
      <c r="B80" s="4" t="s">
        <v>428</v>
      </c>
      <c r="C80" s="4" t="s">
        <v>29</v>
      </c>
      <c r="D80" s="4" t="s">
        <v>326</v>
      </c>
      <c r="E80" s="4">
        <v>58</v>
      </c>
      <c r="F80" s="4">
        <v>8.1317460167989637</v>
      </c>
      <c r="H80" s="4">
        <v>3</v>
      </c>
      <c r="I80" s="4">
        <v>2</v>
      </c>
    </row>
    <row r="81" spans="1:9">
      <c r="A81" s="4" t="s">
        <v>85</v>
      </c>
      <c r="B81" s="4" t="s">
        <v>85</v>
      </c>
      <c r="C81" s="4" t="s">
        <v>29</v>
      </c>
      <c r="D81" s="4" t="s">
        <v>427</v>
      </c>
      <c r="F81" s="4">
        <v>16.122124895711178</v>
      </c>
      <c r="H81" s="4">
        <v>3</v>
      </c>
      <c r="I81" s="4">
        <v>1</v>
      </c>
    </row>
    <row r="82" spans="1:9">
      <c r="A82" s="4" t="s">
        <v>86</v>
      </c>
      <c r="B82" s="4" t="s">
        <v>86</v>
      </c>
      <c r="C82" s="4" t="s">
        <v>29</v>
      </c>
      <c r="D82" s="4" t="s">
        <v>429</v>
      </c>
      <c r="E82" s="4">
        <v>5.29</v>
      </c>
      <c r="F82" s="4">
        <v>16.122124895711178</v>
      </c>
      <c r="H82" s="4">
        <v>3</v>
      </c>
      <c r="I82" s="4">
        <v>1</v>
      </c>
    </row>
    <row r="83" spans="1:9">
      <c r="A83" s="4" t="s">
        <v>281</v>
      </c>
      <c r="B83" s="4" t="s">
        <v>430</v>
      </c>
      <c r="C83" s="4" t="s">
        <v>29</v>
      </c>
      <c r="D83" s="4" t="s">
        <v>431</v>
      </c>
      <c r="E83" s="4">
        <v>36.340000000000003</v>
      </c>
      <c r="F83" s="4">
        <v>3.8321104472039145</v>
      </c>
      <c r="H83" s="4">
        <v>3</v>
      </c>
      <c r="I83" s="4">
        <v>1</v>
      </c>
    </row>
    <row r="84" spans="1:9">
      <c r="A84" s="4" t="s">
        <v>100</v>
      </c>
      <c r="B84" s="4" t="s">
        <v>432</v>
      </c>
      <c r="C84" s="4" t="s">
        <v>29</v>
      </c>
      <c r="F84" s="4">
        <v>64.358947526679671</v>
      </c>
    </row>
    <row r="85" spans="1:9">
      <c r="A85" s="4" t="s">
        <v>103</v>
      </c>
      <c r="B85" s="4" t="s">
        <v>433</v>
      </c>
      <c r="C85" s="4" t="s">
        <v>29</v>
      </c>
      <c r="D85" s="4" t="s">
        <v>326</v>
      </c>
      <c r="F85" s="4">
        <v>10.803598959475361</v>
      </c>
      <c r="H85" s="4">
        <v>3</v>
      </c>
      <c r="I85" s="4">
        <v>2</v>
      </c>
    </row>
    <row r="86" spans="1:9">
      <c r="A86" s="4" t="s">
        <v>434</v>
      </c>
      <c r="B86" s="4" t="s">
        <v>435</v>
      </c>
      <c r="C86" s="4" t="s">
        <v>29</v>
      </c>
      <c r="D86" s="4" t="s">
        <v>313</v>
      </c>
      <c r="F86" s="4">
        <v>5.2529935346168033</v>
      </c>
      <c r="H86" s="4">
        <v>1</v>
      </c>
      <c r="I86" s="4">
        <v>1</v>
      </c>
    </row>
    <row r="87" spans="1:9">
      <c r="A87" s="4" t="s">
        <v>436</v>
      </c>
      <c r="B87" s="4" t="s">
        <v>437</v>
      </c>
      <c r="C87" s="4" t="s">
        <v>29</v>
      </c>
      <c r="F87" s="4">
        <v>64.358947526679671</v>
      </c>
    </row>
    <row r="88" spans="1:9">
      <c r="A88" s="4" t="s">
        <v>438</v>
      </c>
      <c r="B88" s="4" t="s">
        <v>439</v>
      </c>
      <c r="C88" s="4" t="s">
        <v>29</v>
      </c>
      <c r="D88" s="4" t="s">
        <v>326</v>
      </c>
      <c r="E88" s="4">
        <v>64</v>
      </c>
      <c r="I88" s="4">
        <v>2</v>
      </c>
    </row>
    <row r="89" spans="1:9">
      <c r="A89" s="4" t="s">
        <v>275</v>
      </c>
      <c r="B89" s="4" t="s">
        <v>440</v>
      </c>
      <c r="C89" s="4" t="s">
        <v>29</v>
      </c>
      <c r="D89" s="4" t="s">
        <v>441</v>
      </c>
      <c r="F89" s="4">
        <v>231.3957558791088</v>
      </c>
      <c r="H89" s="4">
        <v>4</v>
      </c>
      <c r="I89" s="4">
        <v>1</v>
      </c>
    </row>
    <row r="90" spans="1:9">
      <c r="A90" s="4" t="s">
        <v>145</v>
      </c>
      <c r="B90" s="4" t="s">
        <v>442</v>
      </c>
      <c r="C90" s="4" t="s">
        <v>29</v>
      </c>
      <c r="D90" s="4" t="s">
        <v>443</v>
      </c>
      <c r="E90" s="4">
        <v>2626</v>
      </c>
      <c r="F90" s="4">
        <v>73.145665077899338</v>
      </c>
      <c r="H90" s="4">
        <v>5</v>
      </c>
      <c r="I90" s="4">
        <v>3</v>
      </c>
    </row>
    <row r="91" spans="1:9">
      <c r="A91" s="4" t="s">
        <v>444</v>
      </c>
      <c r="B91" s="4" t="s">
        <v>444</v>
      </c>
      <c r="C91" s="4" t="s">
        <v>29</v>
      </c>
      <c r="F91" s="4">
        <v>0.33678664645906475</v>
      </c>
    </row>
    <row r="92" spans="1:9">
      <c r="A92" s="4" t="s">
        <v>110</v>
      </c>
      <c r="B92" s="4" t="s">
        <v>445</v>
      </c>
      <c r="C92" s="4" t="s">
        <v>29</v>
      </c>
      <c r="D92" s="4" t="s">
        <v>441</v>
      </c>
      <c r="F92" s="4">
        <v>9.2458293766477926</v>
      </c>
      <c r="H92" s="4">
        <v>2</v>
      </c>
      <c r="I92" s="4">
        <v>1</v>
      </c>
    </row>
    <row r="93" spans="1:9">
      <c r="A93" s="4" t="s">
        <v>446</v>
      </c>
      <c r="B93" s="4" t="s">
        <v>447</v>
      </c>
      <c r="C93" s="4" t="s">
        <v>29</v>
      </c>
      <c r="F93" s="4">
        <v>9.4E-2</v>
      </c>
    </row>
    <row r="94" spans="1:9">
      <c r="A94" s="4" t="s">
        <v>448</v>
      </c>
      <c r="B94" s="4" t="s">
        <v>449</v>
      </c>
      <c r="C94" s="4" t="s">
        <v>29</v>
      </c>
      <c r="D94" s="4" t="s">
        <v>450</v>
      </c>
      <c r="F94" s="4">
        <v>13.431505823786758</v>
      </c>
      <c r="H94" s="4">
        <v>2</v>
      </c>
      <c r="I94" s="4">
        <v>1</v>
      </c>
    </row>
    <row r="95" spans="1:9">
      <c r="A95" s="4" t="s">
        <v>451</v>
      </c>
      <c r="B95" s="4" t="s">
        <v>452</v>
      </c>
      <c r="C95" s="4" t="s">
        <v>29</v>
      </c>
      <c r="D95" s="4" t="s">
        <v>453</v>
      </c>
      <c r="F95" s="4">
        <v>19.220474619863193</v>
      </c>
      <c r="H95" s="4">
        <v>2</v>
      </c>
      <c r="I95" s="4">
        <v>1</v>
      </c>
    </row>
    <row r="96" spans="1:9">
      <c r="A96" s="4" t="s">
        <v>129</v>
      </c>
      <c r="B96" s="4" t="s">
        <v>454</v>
      </c>
      <c r="C96" s="4" t="s">
        <v>29</v>
      </c>
      <c r="D96" s="4" t="s">
        <v>455</v>
      </c>
      <c r="E96" s="4">
        <v>1100</v>
      </c>
      <c r="F96" s="4">
        <v>50.993475299729845</v>
      </c>
      <c r="H96" s="4">
        <v>2</v>
      </c>
      <c r="I96" s="4">
        <v>1</v>
      </c>
    </row>
    <row r="97" spans="1:9">
      <c r="A97" s="4" t="s">
        <v>41</v>
      </c>
      <c r="B97" s="4" t="s">
        <v>456</v>
      </c>
      <c r="C97" s="4" t="s">
        <v>29</v>
      </c>
      <c r="D97" s="4" t="s">
        <v>457</v>
      </c>
      <c r="E97" s="4">
        <v>1499</v>
      </c>
      <c r="F97" s="4">
        <v>153.27000000000001</v>
      </c>
      <c r="H97" s="4">
        <v>4</v>
      </c>
      <c r="I97" s="4">
        <v>1</v>
      </c>
    </row>
    <row r="98" spans="1:9">
      <c r="A98" s="4" t="s">
        <v>458</v>
      </c>
      <c r="B98" s="4" t="s">
        <v>458</v>
      </c>
      <c r="C98" s="4" t="s">
        <v>29</v>
      </c>
      <c r="D98" s="4" t="s">
        <v>343</v>
      </c>
      <c r="F98" s="4">
        <v>1.1635440671162765E-2</v>
      </c>
      <c r="H98" s="4">
        <v>1</v>
      </c>
      <c r="I98" s="4">
        <v>1</v>
      </c>
    </row>
    <row r="99" spans="1:9">
      <c r="A99" s="4" t="s">
        <v>211</v>
      </c>
      <c r="B99" s="4" t="s">
        <v>459</v>
      </c>
      <c r="C99" s="4" t="s">
        <v>29</v>
      </c>
      <c r="D99" s="4" t="s">
        <v>460</v>
      </c>
      <c r="E99" s="4">
        <v>437</v>
      </c>
      <c r="F99" s="4">
        <v>13.379999999999999</v>
      </c>
      <c r="H99" s="4">
        <v>3</v>
      </c>
      <c r="I99" s="4">
        <v>1</v>
      </c>
    </row>
    <row r="100" spans="1:9">
      <c r="A100" s="4" t="s">
        <v>96</v>
      </c>
      <c r="B100" s="4" t="s">
        <v>461</v>
      </c>
      <c r="C100" s="4" t="s">
        <v>29</v>
      </c>
      <c r="D100" s="4" t="s">
        <v>462</v>
      </c>
      <c r="E100" s="4">
        <v>115</v>
      </c>
      <c r="F100" s="4">
        <v>22.86</v>
      </c>
      <c r="H100" s="4">
        <v>4</v>
      </c>
      <c r="I100" s="4">
        <v>3</v>
      </c>
    </row>
    <row r="101" spans="1:9">
      <c r="A101" s="4" t="s">
        <v>39</v>
      </c>
      <c r="B101" s="4" t="s">
        <v>463</v>
      </c>
      <c r="C101" s="4" t="s">
        <v>29</v>
      </c>
      <c r="D101" s="4" t="s">
        <v>464</v>
      </c>
      <c r="E101" s="4">
        <v>147</v>
      </c>
      <c r="F101" s="4">
        <v>81.752040520855701</v>
      </c>
      <c r="H101" s="4">
        <v>6</v>
      </c>
      <c r="I101" s="4">
        <v>1</v>
      </c>
    </row>
    <row r="102" spans="1:9">
      <c r="A102" s="4" t="s">
        <v>180</v>
      </c>
      <c r="B102" s="4" t="s">
        <v>465</v>
      </c>
      <c r="C102" s="4" t="s">
        <v>29</v>
      </c>
      <c r="D102" s="4" t="s">
        <v>466</v>
      </c>
      <c r="F102" s="4">
        <v>9.6124698474463486</v>
      </c>
      <c r="H102" s="4">
        <v>4</v>
      </c>
      <c r="I102" s="4">
        <v>1</v>
      </c>
    </row>
    <row r="103" spans="1:9">
      <c r="A103" s="4" t="s">
        <v>184</v>
      </c>
      <c r="B103" s="4" t="s">
        <v>467</v>
      </c>
      <c r="C103" s="4" t="s">
        <v>29</v>
      </c>
      <c r="D103" s="4" t="s">
        <v>468</v>
      </c>
      <c r="F103" s="4">
        <v>16.122124895711178</v>
      </c>
      <c r="H103" s="4">
        <v>4</v>
      </c>
      <c r="I103" s="4">
        <v>1</v>
      </c>
    </row>
    <row r="104" spans="1:9">
      <c r="A104" s="4" t="s">
        <v>199</v>
      </c>
      <c r="B104" s="4" t="s">
        <v>469</v>
      </c>
      <c r="C104" s="4" t="s">
        <v>29</v>
      </c>
      <c r="D104" s="4" t="s">
        <v>332</v>
      </c>
      <c r="E104" s="4">
        <v>1675</v>
      </c>
      <c r="F104" s="4">
        <v>3.1742986146488623</v>
      </c>
      <c r="H104" s="4">
        <v>3</v>
      </c>
      <c r="I104" s="4">
        <v>2</v>
      </c>
    </row>
    <row r="105" spans="1:9">
      <c r="A105" s="4" t="s">
        <v>237</v>
      </c>
      <c r="B105" s="4" t="s">
        <v>470</v>
      </c>
      <c r="C105" s="4" t="s">
        <v>29</v>
      </c>
      <c r="D105" s="4" t="s">
        <v>471</v>
      </c>
      <c r="E105" s="4">
        <v>1499</v>
      </c>
      <c r="F105" s="4">
        <v>82.57</v>
      </c>
      <c r="H105" s="4">
        <v>4</v>
      </c>
      <c r="I105" s="4">
        <v>2</v>
      </c>
    </row>
    <row r="106" spans="1:9">
      <c r="A106" s="4" t="s">
        <v>186</v>
      </c>
      <c r="B106" s="4" t="s">
        <v>472</v>
      </c>
      <c r="C106" s="4" t="s">
        <v>29</v>
      </c>
      <c r="D106" s="4" t="s">
        <v>453</v>
      </c>
      <c r="E106" s="4">
        <v>4393</v>
      </c>
      <c r="F106" s="4">
        <v>1.4797812679861231</v>
      </c>
      <c r="H106" s="4">
        <v>0</v>
      </c>
      <c r="I106" s="4">
        <v>1</v>
      </c>
    </row>
    <row r="107" spans="1:9">
      <c r="A107" s="4" t="s">
        <v>101</v>
      </c>
      <c r="B107" s="4" t="s">
        <v>473</v>
      </c>
      <c r="C107" s="4" t="s">
        <v>29</v>
      </c>
      <c r="D107" s="4" t="s">
        <v>474</v>
      </c>
      <c r="E107" s="4">
        <v>3560</v>
      </c>
      <c r="F107" s="4">
        <v>2.923101510025103</v>
      </c>
      <c r="H107" s="4">
        <v>3</v>
      </c>
      <c r="I107" s="4">
        <v>1</v>
      </c>
    </row>
    <row r="108" spans="1:9">
      <c r="A108" s="4" t="s">
        <v>191</v>
      </c>
      <c r="B108" s="4" t="s">
        <v>191</v>
      </c>
      <c r="C108" s="4" t="s">
        <v>29</v>
      </c>
      <c r="D108" s="4" t="s">
        <v>310</v>
      </c>
      <c r="E108" s="4">
        <v>9</v>
      </c>
      <c r="F108" s="4">
        <v>254.60902660160465</v>
      </c>
      <c r="H108" s="4">
        <v>5</v>
      </c>
      <c r="I108" s="4">
        <v>1</v>
      </c>
    </row>
    <row r="109" spans="1:9">
      <c r="A109" s="4" t="s">
        <v>195</v>
      </c>
      <c r="B109" s="4" t="s">
        <v>475</v>
      </c>
      <c r="C109" s="4" t="s">
        <v>29</v>
      </c>
      <c r="D109" s="4" t="s">
        <v>343</v>
      </c>
      <c r="E109" s="4">
        <v>2908</v>
      </c>
      <c r="F109" s="4">
        <v>2.8939906360520209</v>
      </c>
      <c r="H109" s="4">
        <v>3</v>
      </c>
      <c r="I109" s="4">
        <v>1</v>
      </c>
    </row>
    <row r="110" spans="1:9">
      <c r="A110" s="4" t="s">
        <v>476</v>
      </c>
      <c r="B110" s="4" t="s">
        <v>477</v>
      </c>
      <c r="C110" s="4" t="s">
        <v>29</v>
      </c>
      <c r="D110" s="4" t="s">
        <v>310</v>
      </c>
      <c r="E110" s="4">
        <v>12680</v>
      </c>
      <c r="F110" s="4">
        <v>131.71779696347781</v>
      </c>
      <c r="H110" s="4">
        <v>5</v>
      </c>
      <c r="I110" s="4">
        <v>1</v>
      </c>
    </row>
    <row r="111" spans="1:9">
      <c r="A111" s="4" t="s">
        <v>266</v>
      </c>
      <c r="B111" s="4" t="s">
        <v>478</v>
      </c>
      <c r="C111" s="4" t="s">
        <v>29</v>
      </c>
      <c r="D111" s="4" t="s">
        <v>310</v>
      </c>
      <c r="E111" s="4">
        <v>17</v>
      </c>
      <c r="F111" s="4">
        <v>5.0067137408726454</v>
      </c>
      <c r="H111" s="4">
        <v>3</v>
      </c>
      <c r="I111" s="4">
        <v>1</v>
      </c>
    </row>
    <row r="112" spans="1:9">
      <c r="A112" s="4" t="s">
        <v>31</v>
      </c>
      <c r="B112" s="4" t="s">
        <v>479</v>
      </c>
      <c r="C112" s="4" t="s">
        <v>29</v>
      </c>
      <c r="D112" s="4" t="s">
        <v>480</v>
      </c>
      <c r="F112" s="4">
        <v>2.675764110756124E-2</v>
      </c>
      <c r="H112" s="4">
        <v>1</v>
      </c>
      <c r="I112" s="4">
        <v>1</v>
      </c>
    </row>
    <row r="113" spans="1:9">
      <c r="A113" s="4" t="s">
        <v>66</v>
      </c>
      <c r="B113" s="4" t="s">
        <v>481</v>
      </c>
      <c r="C113" s="4" t="s">
        <v>29</v>
      </c>
      <c r="F113" s="4">
        <v>3.9155617804681011</v>
      </c>
    </row>
    <row r="114" spans="1:9">
      <c r="A114" s="4" t="s">
        <v>206</v>
      </c>
      <c r="B114" s="4" t="s">
        <v>482</v>
      </c>
      <c r="C114" s="4" t="s">
        <v>29</v>
      </c>
      <c r="D114" s="4" t="s">
        <v>330</v>
      </c>
      <c r="E114" s="4">
        <v>27</v>
      </c>
      <c r="F114" s="4">
        <v>6.1816122110580389</v>
      </c>
      <c r="H114" s="4">
        <v>2</v>
      </c>
      <c r="I114" s="4">
        <v>1</v>
      </c>
    </row>
    <row r="115" spans="1:9">
      <c r="A115" s="4" t="s">
        <v>483</v>
      </c>
      <c r="B115" s="4" t="s">
        <v>484</v>
      </c>
      <c r="C115" s="4" t="s">
        <v>29</v>
      </c>
      <c r="D115" s="4" t="s">
        <v>310</v>
      </c>
      <c r="E115" s="4">
        <v>3.16</v>
      </c>
      <c r="F115" s="4">
        <v>32.674754216549147</v>
      </c>
      <c r="H115" s="4">
        <v>4</v>
      </c>
      <c r="I115" s="4">
        <v>1</v>
      </c>
    </row>
    <row r="116" spans="1:9">
      <c r="A116" s="4" t="s">
        <v>207</v>
      </c>
      <c r="B116" s="4" t="s">
        <v>485</v>
      </c>
      <c r="C116" s="4" t="s">
        <v>29</v>
      </c>
      <c r="D116" s="4" t="s">
        <v>486</v>
      </c>
      <c r="E116" s="4">
        <v>11484</v>
      </c>
      <c r="F116" s="4">
        <v>35.44</v>
      </c>
      <c r="H116" s="4">
        <v>2</v>
      </c>
      <c r="I116" s="4">
        <v>1</v>
      </c>
    </row>
    <row r="117" spans="1:9">
      <c r="A117" s="4" t="s">
        <v>209</v>
      </c>
      <c r="B117" s="4" t="s">
        <v>487</v>
      </c>
      <c r="C117" s="4" t="s">
        <v>29</v>
      </c>
      <c r="F117" s="4">
        <v>64.358947526679671</v>
      </c>
    </row>
    <row r="118" spans="1:9">
      <c r="A118" s="4" t="s">
        <v>488</v>
      </c>
      <c r="B118" s="4" t="s">
        <v>489</v>
      </c>
      <c r="C118" s="4" t="s">
        <v>29</v>
      </c>
      <c r="D118" s="4" t="s">
        <v>468</v>
      </c>
      <c r="F118" s="4">
        <v>16.122124895711178</v>
      </c>
      <c r="H118" s="4">
        <v>4</v>
      </c>
    </row>
    <row r="119" spans="1:9">
      <c r="A119" s="4" t="s">
        <v>233</v>
      </c>
      <c r="B119" s="4" t="s">
        <v>490</v>
      </c>
      <c r="C119" s="4" t="s">
        <v>29</v>
      </c>
      <c r="D119" s="4" t="s">
        <v>313</v>
      </c>
      <c r="F119" s="4">
        <v>5.2529935346168033</v>
      </c>
      <c r="H119" s="4">
        <v>1</v>
      </c>
      <c r="I119" s="4">
        <v>1</v>
      </c>
    </row>
    <row r="120" spans="1:9">
      <c r="A120" s="4" t="s">
        <v>491</v>
      </c>
      <c r="B120" s="4" t="s">
        <v>492</v>
      </c>
      <c r="C120" s="4" t="s">
        <v>29</v>
      </c>
      <c r="D120" s="4" t="s">
        <v>493</v>
      </c>
      <c r="E120" s="4">
        <v>832</v>
      </c>
      <c r="F120" s="4">
        <v>3.61</v>
      </c>
      <c r="H120" s="4">
        <v>1</v>
      </c>
      <c r="I120" s="4">
        <v>1</v>
      </c>
    </row>
    <row r="121" spans="1:9">
      <c r="A121" s="4" t="s">
        <v>494</v>
      </c>
      <c r="B121" s="4" t="s">
        <v>495</v>
      </c>
      <c r="C121" s="4" t="s">
        <v>29</v>
      </c>
      <c r="D121" s="4" t="s">
        <v>496</v>
      </c>
      <c r="E121" s="4">
        <v>4813</v>
      </c>
      <c r="F121" s="4">
        <v>41.05698281732284</v>
      </c>
      <c r="H121" s="4">
        <v>2</v>
      </c>
      <c r="I121" s="4">
        <v>1</v>
      </c>
    </row>
    <row r="122" spans="1:9">
      <c r="A122" s="4" t="s">
        <v>77</v>
      </c>
      <c r="B122" s="4" t="s">
        <v>497</v>
      </c>
      <c r="C122" s="4" t="s">
        <v>29</v>
      </c>
      <c r="D122" s="4" t="s">
        <v>498</v>
      </c>
      <c r="E122" s="4">
        <v>1</v>
      </c>
      <c r="F122" s="4">
        <v>73.615185505463486</v>
      </c>
      <c r="H122" s="4">
        <v>3</v>
      </c>
      <c r="I122" s="4">
        <v>1</v>
      </c>
    </row>
    <row r="123" spans="1:9">
      <c r="A123" s="4" t="s">
        <v>79</v>
      </c>
      <c r="B123" s="4" t="s">
        <v>499</v>
      </c>
      <c r="C123" s="4" t="s">
        <v>29</v>
      </c>
      <c r="D123" s="4" t="s">
        <v>500</v>
      </c>
      <c r="E123" s="4">
        <v>72799</v>
      </c>
      <c r="F123" s="4">
        <v>8.8451659255067661</v>
      </c>
      <c r="H123" s="4">
        <v>2</v>
      </c>
      <c r="I123" s="4">
        <v>3</v>
      </c>
    </row>
    <row r="124" spans="1:9">
      <c r="A124" s="4" t="s">
        <v>151</v>
      </c>
      <c r="B124" s="4" t="s">
        <v>501</v>
      </c>
      <c r="C124" s="4" t="s">
        <v>29</v>
      </c>
      <c r="D124" s="4" t="s">
        <v>502</v>
      </c>
      <c r="E124" s="4">
        <v>2301</v>
      </c>
      <c r="F124" s="4">
        <v>13.020616039822261</v>
      </c>
      <c r="H124" s="4">
        <v>3</v>
      </c>
      <c r="I124" s="4">
        <v>3</v>
      </c>
    </row>
    <row r="125" spans="1:9">
      <c r="A125" s="4" t="s">
        <v>239</v>
      </c>
      <c r="B125" s="4" t="s">
        <v>503</v>
      </c>
      <c r="C125" s="4" t="s">
        <v>29</v>
      </c>
      <c r="D125" s="4" t="s">
        <v>504</v>
      </c>
      <c r="F125" s="4">
        <v>0.12884216254510045</v>
      </c>
      <c r="H125" s="4">
        <v>0</v>
      </c>
      <c r="I125" s="4">
        <v>1</v>
      </c>
    </row>
    <row r="126" spans="1:9">
      <c r="A126" s="4" t="s">
        <v>505</v>
      </c>
      <c r="B126" s="4" t="s">
        <v>506</v>
      </c>
      <c r="C126" s="4" t="s">
        <v>29</v>
      </c>
      <c r="F126" s="4">
        <v>9.4E-2</v>
      </c>
    </row>
    <row r="127" spans="1:9">
      <c r="A127" s="4" t="s">
        <v>260</v>
      </c>
      <c r="B127" s="4" t="s">
        <v>260</v>
      </c>
      <c r="C127" s="4" t="s">
        <v>29</v>
      </c>
      <c r="D127" s="4" t="s">
        <v>468</v>
      </c>
      <c r="F127" s="4">
        <v>16.122124895711178</v>
      </c>
      <c r="H127" s="4">
        <v>4</v>
      </c>
      <c r="I127" s="4">
        <v>1</v>
      </c>
    </row>
    <row r="128" spans="1:9">
      <c r="A128" s="4" t="s">
        <v>160</v>
      </c>
      <c r="B128" s="4" t="s">
        <v>507</v>
      </c>
      <c r="C128" s="4" t="s">
        <v>29</v>
      </c>
      <c r="D128" s="4" t="s">
        <v>474</v>
      </c>
      <c r="E128" s="4">
        <v>62.55</v>
      </c>
      <c r="F128" s="4">
        <v>2.8590157106456027</v>
      </c>
      <c r="H128" s="4">
        <v>3</v>
      </c>
      <c r="I128" s="4">
        <v>1</v>
      </c>
    </row>
    <row r="129" spans="1:9">
      <c r="A129" s="4" t="s">
        <v>508</v>
      </c>
      <c r="B129" s="4" t="s">
        <v>509</v>
      </c>
      <c r="C129" s="4" t="s">
        <v>29</v>
      </c>
      <c r="D129" s="4" t="s">
        <v>510</v>
      </c>
      <c r="E129" s="4">
        <v>4898</v>
      </c>
      <c r="F129" s="4">
        <v>30.843021994351353</v>
      </c>
      <c r="H129" s="4">
        <v>3</v>
      </c>
      <c r="I129" s="4">
        <v>3</v>
      </c>
    </row>
    <row r="130" spans="1:9">
      <c r="A130" s="4" t="s">
        <v>511</v>
      </c>
      <c r="B130" s="4" t="s">
        <v>512</v>
      </c>
      <c r="C130" s="4" t="s">
        <v>29</v>
      </c>
      <c r="D130" s="4" t="s">
        <v>313</v>
      </c>
      <c r="E130" s="4">
        <v>96</v>
      </c>
      <c r="F130" s="4">
        <v>11.087821949862175</v>
      </c>
      <c r="H130" s="4">
        <v>1</v>
      </c>
      <c r="I130" s="4">
        <v>1</v>
      </c>
    </row>
    <row r="131" spans="1:9">
      <c r="A131" s="4" t="s">
        <v>513</v>
      </c>
      <c r="B131" s="4" t="s">
        <v>514</v>
      </c>
      <c r="C131" s="4" t="s">
        <v>29</v>
      </c>
      <c r="D131" s="4" t="s">
        <v>504</v>
      </c>
      <c r="E131" s="4">
        <v>12</v>
      </c>
      <c r="F131" s="4">
        <v>0.12884216254510045</v>
      </c>
      <c r="H131" s="4">
        <v>1</v>
      </c>
      <c r="I131" s="4">
        <v>1</v>
      </c>
    </row>
    <row r="132" spans="1:9">
      <c r="A132" s="4" t="s">
        <v>277</v>
      </c>
      <c r="B132" s="4" t="s">
        <v>277</v>
      </c>
      <c r="C132" s="4" t="s">
        <v>29</v>
      </c>
      <c r="D132" s="4" t="s">
        <v>345</v>
      </c>
      <c r="F132" s="4">
        <v>16.122124895711178</v>
      </c>
      <c r="H132" s="4">
        <v>2</v>
      </c>
      <c r="I132" s="4">
        <v>1</v>
      </c>
    </row>
    <row r="133" spans="1:9">
      <c r="A133" s="4" t="s">
        <v>70</v>
      </c>
      <c r="B133" s="4" t="s">
        <v>515</v>
      </c>
      <c r="C133" s="4" t="s">
        <v>516</v>
      </c>
      <c r="D133" s="4" t="s">
        <v>332</v>
      </c>
      <c r="E133" s="4">
        <v>237</v>
      </c>
      <c r="F133" s="4">
        <v>2.3797644691069815</v>
      </c>
      <c r="H133" s="4">
        <v>3</v>
      </c>
      <c r="I133" s="4">
        <v>3</v>
      </c>
    </row>
    <row r="134" spans="1:9">
      <c r="A134" s="4" t="s">
        <v>83</v>
      </c>
      <c r="B134" s="4" t="s">
        <v>517</v>
      </c>
      <c r="C134" s="4" t="s">
        <v>516</v>
      </c>
      <c r="D134" s="4" t="s">
        <v>320</v>
      </c>
      <c r="E134" s="4">
        <v>1032</v>
      </c>
      <c r="F134" s="4">
        <v>111.26</v>
      </c>
      <c r="H134" s="4">
        <v>4</v>
      </c>
      <c r="I134" s="4">
        <v>3</v>
      </c>
    </row>
    <row r="135" spans="1:9">
      <c r="A135" s="4" t="s">
        <v>118</v>
      </c>
      <c r="B135" s="4" t="s">
        <v>518</v>
      </c>
      <c r="C135" s="4" t="s">
        <v>516</v>
      </c>
      <c r="D135" s="4" t="s">
        <v>453</v>
      </c>
      <c r="F135" s="4">
        <v>64.39489403018591</v>
      </c>
      <c r="H135" s="4">
        <v>2</v>
      </c>
      <c r="I135" s="4">
        <v>1</v>
      </c>
    </row>
    <row r="136" spans="1:9">
      <c r="A136" s="4" t="s">
        <v>50</v>
      </c>
      <c r="B136" s="4" t="s">
        <v>519</v>
      </c>
      <c r="C136" s="4" t="s">
        <v>516</v>
      </c>
      <c r="D136" s="4" t="s">
        <v>520</v>
      </c>
      <c r="E136" s="4">
        <v>5488</v>
      </c>
      <c r="F136" s="4">
        <v>2.0885911092222216</v>
      </c>
      <c r="H136" s="4">
        <v>3</v>
      </c>
      <c r="I136" s="4">
        <v>3</v>
      </c>
    </row>
    <row r="137" spans="1:9">
      <c r="A137" s="4" t="s">
        <v>178</v>
      </c>
      <c r="B137" s="4" t="s">
        <v>521</v>
      </c>
      <c r="C137" s="4" t="s">
        <v>516</v>
      </c>
      <c r="D137" s="4" t="s">
        <v>522</v>
      </c>
      <c r="E137" s="4">
        <v>172</v>
      </c>
      <c r="F137" s="4">
        <v>244.39936583785567</v>
      </c>
      <c r="H137" s="4">
        <v>4</v>
      </c>
      <c r="I137" s="4">
        <v>3</v>
      </c>
    </row>
    <row r="138" spans="1:9">
      <c r="A138" s="4" t="s">
        <v>523</v>
      </c>
      <c r="B138" s="4" t="s">
        <v>524</v>
      </c>
      <c r="C138" s="4" t="s">
        <v>516</v>
      </c>
      <c r="D138" s="4" t="s">
        <v>400</v>
      </c>
      <c r="E138" s="4">
        <v>681</v>
      </c>
      <c r="F138" s="4">
        <v>3.6837913810802321</v>
      </c>
      <c r="H138" s="4">
        <v>2</v>
      </c>
      <c r="I138" s="4">
        <v>1</v>
      </c>
    </row>
    <row r="139" spans="1:9">
      <c r="A139" s="4" t="s">
        <v>525</v>
      </c>
      <c r="B139" s="4" t="s">
        <v>525</v>
      </c>
      <c r="C139" s="4" t="s">
        <v>516</v>
      </c>
      <c r="F139" s="4">
        <v>3.7862030200502059</v>
      </c>
    </row>
    <row r="140" spans="1:9">
      <c r="A140" s="4" t="s">
        <v>48</v>
      </c>
      <c r="B140" s="4" t="s">
        <v>526</v>
      </c>
      <c r="C140" s="4" t="s">
        <v>516</v>
      </c>
      <c r="D140" s="4" t="s">
        <v>527</v>
      </c>
      <c r="E140" s="4">
        <v>72799</v>
      </c>
      <c r="F140" s="4">
        <v>1.0838059076525397</v>
      </c>
      <c r="H140" s="4">
        <v>1</v>
      </c>
      <c r="I140" s="4">
        <v>1</v>
      </c>
    </row>
    <row r="141" spans="1:9">
      <c r="A141" s="4" t="s">
        <v>114</v>
      </c>
      <c r="B141" s="4" t="s">
        <v>528</v>
      </c>
      <c r="C141" s="4" t="s">
        <v>516</v>
      </c>
      <c r="D141" s="4" t="s">
        <v>502</v>
      </c>
      <c r="E141" s="4">
        <v>1089</v>
      </c>
      <c r="F141" s="4">
        <v>1.6933568648852475</v>
      </c>
      <c r="H141" s="4">
        <v>2</v>
      </c>
      <c r="I141" s="4">
        <v>3</v>
      </c>
    </row>
    <row r="142" spans="1:9">
      <c r="A142" s="4" t="s">
        <v>26</v>
      </c>
      <c r="B142" s="4" t="s">
        <v>26</v>
      </c>
      <c r="C142" s="4" t="s">
        <v>10</v>
      </c>
      <c r="D142" s="4" t="s">
        <v>529</v>
      </c>
      <c r="E142" s="4">
        <v>5</v>
      </c>
      <c r="F142" s="4">
        <v>161.22124895711178</v>
      </c>
      <c r="H142" s="4">
        <v>6</v>
      </c>
      <c r="I142" s="4">
        <v>1</v>
      </c>
    </row>
    <row r="143" spans="1:9">
      <c r="A143" s="4" t="s">
        <v>530</v>
      </c>
      <c r="B143" s="4" t="s">
        <v>531</v>
      </c>
      <c r="C143" s="4" t="s">
        <v>10</v>
      </c>
      <c r="D143" s="4" t="s">
        <v>313</v>
      </c>
      <c r="E143" s="4">
        <v>7163</v>
      </c>
      <c r="F143" s="4">
        <v>5.2529935346168033</v>
      </c>
      <c r="H143" s="4">
        <v>1</v>
      </c>
      <c r="I143" s="4">
        <v>1</v>
      </c>
    </row>
    <row r="144" spans="1:9">
      <c r="A144" s="4" t="s">
        <v>33</v>
      </c>
      <c r="B144" s="4" t="s">
        <v>532</v>
      </c>
      <c r="C144" s="4" t="s">
        <v>10</v>
      </c>
      <c r="D144" s="4" t="s">
        <v>464</v>
      </c>
      <c r="E144" s="4">
        <v>322.2</v>
      </c>
      <c r="F144" s="4">
        <v>161.22124895711178</v>
      </c>
      <c r="H144" s="4">
        <v>6</v>
      </c>
      <c r="I144" s="4">
        <v>1</v>
      </c>
    </row>
    <row r="145" spans="1:9">
      <c r="A145" s="4" t="s">
        <v>37</v>
      </c>
      <c r="B145" s="4" t="s">
        <v>37</v>
      </c>
      <c r="C145" s="4" t="s">
        <v>10</v>
      </c>
      <c r="D145" s="4" t="s">
        <v>533</v>
      </c>
      <c r="E145" s="4">
        <v>60</v>
      </c>
      <c r="F145" s="4">
        <v>161.22124895711178</v>
      </c>
      <c r="H145" s="4">
        <v>4</v>
      </c>
      <c r="I145" s="4">
        <v>1</v>
      </c>
    </row>
    <row r="146" spans="1:9">
      <c r="A146" s="4" t="s">
        <v>45</v>
      </c>
      <c r="B146" s="4" t="s">
        <v>534</v>
      </c>
      <c r="C146" s="4" t="s">
        <v>10</v>
      </c>
      <c r="D146" s="4" t="s">
        <v>535</v>
      </c>
      <c r="F146" s="4">
        <v>93.432191942566149</v>
      </c>
      <c r="H146" s="4">
        <v>5</v>
      </c>
      <c r="I146" s="4">
        <v>1</v>
      </c>
    </row>
    <row r="147" spans="1:9">
      <c r="A147" s="4" t="s">
        <v>536</v>
      </c>
      <c r="B147" s="4" t="s">
        <v>537</v>
      </c>
      <c r="C147" s="4" t="s">
        <v>10</v>
      </c>
      <c r="D147" s="4" t="s">
        <v>426</v>
      </c>
      <c r="F147" s="4">
        <v>8.7369002659035608</v>
      </c>
      <c r="H147" s="4">
        <v>1</v>
      </c>
      <c r="I147" s="4">
        <v>2</v>
      </c>
    </row>
    <row r="148" spans="1:9">
      <c r="A148" s="4" t="s">
        <v>60</v>
      </c>
      <c r="B148" s="4" t="s">
        <v>60</v>
      </c>
      <c r="C148" s="4" t="s">
        <v>10</v>
      </c>
      <c r="D148" s="4" t="s">
        <v>538</v>
      </c>
      <c r="E148" s="4">
        <v>47.24</v>
      </c>
      <c r="F148" s="4">
        <v>161.22124895711178</v>
      </c>
      <c r="H148" s="4">
        <v>5</v>
      </c>
      <c r="I148" s="4">
        <v>3</v>
      </c>
    </row>
    <row r="149" spans="1:9">
      <c r="A149" s="4" t="s">
        <v>270</v>
      </c>
      <c r="B149" s="4" t="s">
        <v>539</v>
      </c>
      <c r="C149" s="4" t="s">
        <v>10</v>
      </c>
      <c r="D149" s="4" t="s">
        <v>540</v>
      </c>
      <c r="E149" s="4">
        <v>1</v>
      </c>
      <c r="F149" s="4">
        <v>82.547902033943757</v>
      </c>
      <c r="H149" s="4">
        <v>4</v>
      </c>
      <c r="I149" s="4">
        <v>1</v>
      </c>
    </row>
    <row r="150" spans="1:9">
      <c r="A150" s="4" t="s">
        <v>64</v>
      </c>
      <c r="B150" s="4" t="s">
        <v>541</v>
      </c>
      <c r="C150" s="4" t="s">
        <v>10</v>
      </c>
      <c r="D150" s="4" t="s">
        <v>313</v>
      </c>
      <c r="F150" s="4">
        <v>5.2529935346168033</v>
      </c>
      <c r="H150" s="4">
        <v>1</v>
      </c>
      <c r="I150" s="4">
        <v>1</v>
      </c>
    </row>
    <row r="151" spans="1:9">
      <c r="A151" s="4" t="s">
        <v>542</v>
      </c>
      <c r="B151" s="4" t="s">
        <v>543</v>
      </c>
      <c r="C151" s="4" t="s">
        <v>10</v>
      </c>
      <c r="D151" s="4" t="s">
        <v>377</v>
      </c>
      <c r="F151" s="4">
        <v>231.27734299174813</v>
      </c>
      <c r="H151" s="4">
        <v>5</v>
      </c>
      <c r="I151" s="4">
        <v>3</v>
      </c>
    </row>
    <row r="152" spans="1:9">
      <c r="A152" s="4" t="s">
        <v>544</v>
      </c>
      <c r="B152" s="4" t="s">
        <v>545</v>
      </c>
      <c r="C152" s="4" t="s">
        <v>10</v>
      </c>
      <c r="D152" s="4" t="s">
        <v>400</v>
      </c>
      <c r="F152" s="4">
        <v>35.577304550758463</v>
      </c>
      <c r="H152" s="4">
        <v>2</v>
      </c>
      <c r="I152" s="4">
        <v>1</v>
      </c>
    </row>
    <row r="153" spans="1:9">
      <c r="A153" s="4" t="s">
        <v>98</v>
      </c>
      <c r="B153" s="4" t="s">
        <v>98</v>
      </c>
      <c r="C153" s="4" t="s">
        <v>10</v>
      </c>
      <c r="D153" s="4" t="s">
        <v>468</v>
      </c>
      <c r="F153" s="4">
        <v>93.432191942566149</v>
      </c>
      <c r="H153" s="4">
        <v>5</v>
      </c>
      <c r="I153" s="4">
        <v>1</v>
      </c>
    </row>
    <row r="154" spans="1:9">
      <c r="A154" s="4" t="s">
        <v>14</v>
      </c>
      <c r="B154" s="4" t="s">
        <v>546</v>
      </c>
      <c r="C154" s="4" t="s">
        <v>10</v>
      </c>
      <c r="D154" s="4" t="s">
        <v>313</v>
      </c>
      <c r="F154" s="4">
        <v>5.2529935346168033</v>
      </c>
      <c r="H154" s="4">
        <v>2</v>
      </c>
      <c r="I154" s="4">
        <v>1</v>
      </c>
    </row>
    <row r="155" spans="1:9">
      <c r="A155" s="4" t="s">
        <v>105</v>
      </c>
      <c r="B155" s="4" t="s">
        <v>547</v>
      </c>
      <c r="C155" s="4" t="s">
        <v>10</v>
      </c>
      <c r="D155" s="4" t="s">
        <v>326</v>
      </c>
      <c r="F155" s="4">
        <v>100.84173741760144</v>
      </c>
      <c r="H155" s="4">
        <v>5</v>
      </c>
      <c r="I155" s="4">
        <v>2</v>
      </c>
    </row>
    <row r="156" spans="1:9">
      <c r="A156" s="4" t="s">
        <v>548</v>
      </c>
      <c r="B156" s="4" t="s">
        <v>549</v>
      </c>
      <c r="C156" s="4" t="s">
        <v>10</v>
      </c>
      <c r="D156" s="4" t="s">
        <v>313</v>
      </c>
      <c r="F156" s="4">
        <v>5.2529935346168033</v>
      </c>
      <c r="H156" s="4">
        <v>1</v>
      </c>
      <c r="I156" s="4">
        <v>1</v>
      </c>
    </row>
    <row r="157" spans="1:9">
      <c r="A157" s="4" t="s">
        <v>550</v>
      </c>
      <c r="B157" s="4" t="s">
        <v>550</v>
      </c>
      <c r="C157" s="4" t="s">
        <v>10</v>
      </c>
      <c r="F157" s="4">
        <v>0.52436208073605961</v>
      </c>
    </row>
    <row r="158" spans="1:9">
      <c r="A158" s="4" t="s">
        <v>46</v>
      </c>
      <c r="B158" s="4" t="s">
        <v>551</v>
      </c>
      <c r="C158" s="4" t="s">
        <v>10</v>
      </c>
      <c r="D158" s="4" t="s">
        <v>468</v>
      </c>
      <c r="E158" s="4">
        <v>69</v>
      </c>
      <c r="F158" s="4">
        <v>161.22124895711178</v>
      </c>
      <c r="H158" s="4">
        <v>5</v>
      </c>
      <c r="I158" s="4">
        <v>1</v>
      </c>
    </row>
    <row r="159" spans="1:9">
      <c r="A159" s="4" t="s">
        <v>52</v>
      </c>
      <c r="B159" s="4" t="s">
        <v>552</v>
      </c>
      <c r="C159" s="4" t="s">
        <v>10</v>
      </c>
      <c r="D159" s="4" t="s">
        <v>326</v>
      </c>
      <c r="I159" s="4">
        <v>2</v>
      </c>
    </row>
    <row r="160" spans="1:9">
      <c r="A160" s="4" t="s">
        <v>112</v>
      </c>
      <c r="B160" s="4" t="s">
        <v>553</v>
      </c>
      <c r="C160" s="4" t="s">
        <v>10</v>
      </c>
      <c r="D160" s="4" t="s">
        <v>554</v>
      </c>
      <c r="E160" s="4">
        <v>33.33</v>
      </c>
      <c r="F160" s="4">
        <v>161.22124895711178</v>
      </c>
      <c r="H160" s="4">
        <v>4</v>
      </c>
      <c r="I160" s="4">
        <v>1</v>
      </c>
    </row>
    <row r="161" spans="1:9">
      <c r="A161" s="4" t="s">
        <v>115</v>
      </c>
      <c r="B161" s="4" t="s">
        <v>555</v>
      </c>
      <c r="C161" s="4" t="s">
        <v>10</v>
      </c>
      <c r="D161" s="4" t="s">
        <v>556</v>
      </c>
      <c r="E161" s="4">
        <v>322.2</v>
      </c>
      <c r="F161" s="4">
        <v>161.22124895711178</v>
      </c>
      <c r="H161" s="4">
        <v>5</v>
      </c>
      <c r="I161" s="4">
        <v>1</v>
      </c>
    </row>
    <row r="162" spans="1:9">
      <c r="A162" s="4" t="s">
        <v>557</v>
      </c>
      <c r="B162" s="4" t="s">
        <v>558</v>
      </c>
      <c r="C162" s="4" t="s">
        <v>10</v>
      </c>
      <c r="D162" s="4" t="s">
        <v>559</v>
      </c>
      <c r="E162" s="4">
        <v>119</v>
      </c>
      <c r="F162" s="4">
        <v>4.3740045081721641</v>
      </c>
      <c r="H162" s="4">
        <v>2</v>
      </c>
      <c r="I162" s="4">
        <v>3</v>
      </c>
    </row>
    <row r="163" spans="1:9">
      <c r="A163" s="4" t="s">
        <v>560</v>
      </c>
      <c r="B163" s="4" t="s">
        <v>561</v>
      </c>
      <c r="C163" s="4" t="s">
        <v>10</v>
      </c>
      <c r="D163" s="4" t="s">
        <v>510</v>
      </c>
      <c r="F163" s="4">
        <v>39.804818144216824</v>
      </c>
      <c r="H163" s="4">
        <v>3</v>
      </c>
      <c r="I163" s="4">
        <v>3</v>
      </c>
    </row>
    <row r="164" spans="1:9">
      <c r="A164" s="4" t="s">
        <v>125</v>
      </c>
      <c r="B164" s="4" t="s">
        <v>125</v>
      </c>
      <c r="C164" s="4" t="s">
        <v>10</v>
      </c>
      <c r="D164" s="4" t="s">
        <v>562</v>
      </c>
      <c r="F164" s="4">
        <v>1.6623041356945802</v>
      </c>
      <c r="H164" s="4">
        <v>2</v>
      </c>
    </row>
    <row r="165" spans="1:9">
      <c r="A165" s="4" t="s">
        <v>121</v>
      </c>
      <c r="B165" s="4" t="s">
        <v>563</v>
      </c>
      <c r="C165" s="4" t="s">
        <v>10</v>
      </c>
      <c r="D165" s="4" t="s">
        <v>313</v>
      </c>
      <c r="E165" s="4">
        <v>1</v>
      </c>
      <c r="F165" s="4">
        <v>5.2529935346168033</v>
      </c>
      <c r="H165" s="4">
        <v>2</v>
      </c>
      <c r="I165" s="4">
        <v>1</v>
      </c>
    </row>
    <row r="166" spans="1:9">
      <c r="A166" s="4" t="s">
        <v>131</v>
      </c>
      <c r="B166" s="4" t="s">
        <v>564</v>
      </c>
      <c r="C166" s="4" t="s">
        <v>10</v>
      </c>
    </row>
    <row r="167" spans="1:9">
      <c r="A167" s="4" t="s">
        <v>144</v>
      </c>
      <c r="B167" s="4" t="s">
        <v>144</v>
      </c>
      <c r="C167" s="4" t="s">
        <v>10</v>
      </c>
      <c r="D167" s="4" t="s">
        <v>468</v>
      </c>
      <c r="E167" s="4">
        <v>226</v>
      </c>
      <c r="F167" s="4">
        <v>161.22124895711178</v>
      </c>
      <c r="H167" s="4">
        <v>5</v>
      </c>
      <c r="I167" s="4">
        <v>1</v>
      </c>
    </row>
    <row r="168" spans="1:9">
      <c r="A168" s="4" t="s">
        <v>147</v>
      </c>
      <c r="B168" s="4" t="s">
        <v>147</v>
      </c>
      <c r="C168" s="4" t="s">
        <v>10</v>
      </c>
      <c r="D168" s="4" t="s">
        <v>565</v>
      </c>
      <c r="F168" s="4">
        <v>33.556172657747275</v>
      </c>
      <c r="H168" s="4">
        <v>5</v>
      </c>
      <c r="I168" s="4">
        <v>3</v>
      </c>
    </row>
    <row r="169" spans="1:9">
      <c r="A169" s="4" t="s">
        <v>156</v>
      </c>
      <c r="B169" s="4" t="s">
        <v>566</v>
      </c>
      <c r="C169" s="4" t="s">
        <v>10</v>
      </c>
      <c r="D169" s="4" t="s">
        <v>480</v>
      </c>
      <c r="E169" s="4">
        <v>2530</v>
      </c>
      <c r="F169" s="4">
        <v>451.40943607930217</v>
      </c>
      <c r="H169" s="4">
        <v>4</v>
      </c>
      <c r="I169" s="4">
        <v>1</v>
      </c>
    </row>
    <row r="170" spans="1:9">
      <c r="A170" s="4" t="s">
        <v>12</v>
      </c>
      <c r="B170" s="4" t="s">
        <v>567</v>
      </c>
      <c r="C170" s="4" t="s">
        <v>10</v>
      </c>
      <c r="D170" s="4" t="s">
        <v>568</v>
      </c>
      <c r="E170" s="4">
        <v>18</v>
      </c>
      <c r="F170" s="4">
        <v>552.21103030663323</v>
      </c>
      <c r="H170" s="4">
        <v>4</v>
      </c>
      <c r="I170" s="4">
        <v>1</v>
      </c>
    </row>
    <row r="171" spans="1:9">
      <c r="A171" s="4" t="s">
        <v>9</v>
      </c>
      <c r="B171" s="4" t="s">
        <v>569</v>
      </c>
      <c r="C171" s="4" t="s">
        <v>10</v>
      </c>
      <c r="D171" s="4" t="s">
        <v>570</v>
      </c>
      <c r="E171" s="4">
        <v>5488</v>
      </c>
      <c r="F171" s="4">
        <v>106.15677779056554</v>
      </c>
      <c r="H171" s="4">
        <v>4</v>
      </c>
      <c r="I171" s="4">
        <v>1</v>
      </c>
    </row>
    <row r="172" spans="1:9">
      <c r="A172" s="4" t="s">
        <v>43</v>
      </c>
      <c r="B172" s="4" t="s">
        <v>571</v>
      </c>
      <c r="C172" s="4" t="s">
        <v>10</v>
      </c>
      <c r="D172" s="4" t="s">
        <v>538</v>
      </c>
      <c r="E172" s="4">
        <v>47.24</v>
      </c>
      <c r="F172" s="4">
        <v>161.22124895711178</v>
      </c>
      <c r="H172" s="4">
        <v>5</v>
      </c>
      <c r="I172" s="4">
        <v>3</v>
      </c>
    </row>
    <row r="173" spans="1:9">
      <c r="A173" s="4" t="s">
        <v>88</v>
      </c>
      <c r="B173" s="4" t="s">
        <v>572</v>
      </c>
      <c r="C173" s="4" t="s">
        <v>10</v>
      </c>
      <c r="D173" s="4" t="s">
        <v>464</v>
      </c>
      <c r="E173" s="4">
        <v>7</v>
      </c>
      <c r="F173" s="4">
        <v>39.892313689077326</v>
      </c>
      <c r="H173" s="4">
        <v>5</v>
      </c>
      <c r="I173" s="4">
        <v>3</v>
      </c>
    </row>
    <row r="174" spans="1:9">
      <c r="A174" s="4" t="s">
        <v>138</v>
      </c>
      <c r="B174" s="4" t="s">
        <v>573</v>
      </c>
      <c r="C174" s="4" t="s">
        <v>10</v>
      </c>
      <c r="D174" s="4" t="s">
        <v>574</v>
      </c>
      <c r="F174" s="4">
        <v>56.27</v>
      </c>
      <c r="H174" s="4">
        <v>5</v>
      </c>
      <c r="I174" s="4">
        <v>2</v>
      </c>
    </row>
    <row r="175" spans="1:9">
      <c r="A175" s="4" t="s">
        <v>149</v>
      </c>
      <c r="B175" s="4" t="s">
        <v>575</v>
      </c>
      <c r="C175" s="4" t="s">
        <v>10</v>
      </c>
      <c r="D175" s="4" t="s">
        <v>464</v>
      </c>
      <c r="E175" s="4">
        <v>2040</v>
      </c>
      <c r="F175" s="4">
        <v>242.66493044089697</v>
      </c>
      <c r="H175" s="4">
        <v>6</v>
      </c>
      <c r="I175" s="4">
        <v>1</v>
      </c>
    </row>
    <row r="176" spans="1:9">
      <c r="A176" s="4" t="s">
        <v>174</v>
      </c>
      <c r="B176" s="4" t="s">
        <v>576</v>
      </c>
      <c r="C176" s="4" t="s">
        <v>10</v>
      </c>
      <c r="D176" s="4" t="s">
        <v>431</v>
      </c>
      <c r="E176" s="4">
        <v>190</v>
      </c>
      <c r="F176" s="4">
        <v>67.20102998995668</v>
      </c>
      <c r="H176" s="4">
        <v>4</v>
      </c>
      <c r="I176" s="4">
        <v>1</v>
      </c>
    </row>
    <row r="177" spans="1:9">
      <c r="A177" s="4" t="s">
        <v>158</v>
      </c>
      <c r="B177" s="4" t="s">
        <v>577</v>
      </c>
      <c r="C177" s="4" t="s">
        <v>10</v>
      </c>
      <c r="D177" s="4" t="s">
        <v>377</v>
      </c>
      <c r="F177" s="4">
        <v>0</v>
      </c>
      <c r="H177" s="4">
        <v>3</v>
      </c>
      <c r="I177" s="4">
        <v>3</v>
      </c>
    </row>
    <row r="178" spans="1:9">
      <c r="A178" s="4" t="s">
        <v>188</v>
      </c>
      <c r="B178" s="4" t="s">
        <v>578</v>
      </c>
      <c r="C178" s="4" t="s">
        <v>10</v>
      </c>
      <c r="D178" s="4" t="s">
        <v>326</v>
      </c>
      <c r="E178" s="4">
        <v>440.3</v>
      </c>
      <c r="F178" s="4">
        <v>161.22124895711178</v>
      </c>
      <c r="H178" s="4">
        <v>5</v>
      </c>
      <c r="I178" s="4">
        <v>2</v>
      </c>
    </row>
    <row r="179" spans="1:9">
      <c r="A179" s="4" t="s">
        <v>198</v>
      </c>
      <c r="B179" s="4" t="s">
        <v>579</v>
      </c>
      <c r="C179" s="4" t="s">
        <v>10</v>
      </c>
      <c r="D179" s="4" t="s">
        <v>332</v>
      </c>
      <c r="E179" s="4">
        <v>3338</v>
      </c>
      <c r="F179" s="4">
        <v>26.923059640233603</v>
      </c>
      <c r="H179" s="4">
        <v>4</v>
      </c>
      <c r="I179" s="4">
        <v>3</v>
      </c>
    </row>
    <row r="180" spans="1:9">
      <c r="A180" s="4" t="s">
        <v>243</v>
      </c>
      <c r="B180" s="4" t="s">
        <v>580</v>
      </c>
      <c r="C180" s="4" t="s">
        <v>10</v>
      </c>
      <c r="D180" s="4" t="s">
        <v>326</v>
      </c>
      <c r="E180" s="4">
        <v>440.3</v>
      </c>
      <c r="F180" s="4">
        <v>161.22124895711178</v>
      </c>
      <c r="H180" s="4">
        <v>5</v>
      </c>
      <c r="I180" s="4">
        <v>2</v>
      </c>
    </row>
    <row r="181" spans="1:9">
      <c r="A181" s="4" t="s">
        <v>245</v>
      </c>
      <c r="B181" s="4" t="s">
        <v>581</v>
      </c>
      <c r="C181" s="4" t="s">
        <v>10</v>
      </c>
      <c r="D181" s="4" t="s">
        <v>334</v>
      </c>
      <c r="E181" s="4">
        <v>26</v>
      </c>
      <c r="I181" s="4">
        <v>1</v>
      </c>
    </row>
    <row r="182" spans="1:9">
      <c r="A182" s="4" t="s">
        <v>247</v>
      </c>
      <c r="B182" s="4" t="s">
        <v>582</v>
      </c>
      <c r="C182" s="4" t="s">
        <v>10</v>
      </c>
      <c r="D182" s="4" t="s">
        <v>330</v>
      </c>
      <c r="F182" s="4">
        <v>31.904827005966556</v>
      </c>
      <c r="H182" s="4">
        <v>4</v>
      </c>
      <c r="I182" s="4">
        <v>1</v>
      </c>
    </row>
    <row r="183" spans="1:9">
      <c r="A183" s="4" t="s">
        <v>176</v>
      </c>
      <c r="B183" s="4" t="s">
        <v>176</v>
      </c>
      <c r="C183" s="4" t="s">
        <v>10</v>
      </c>
      <c r="D183" s="4" t="s">
        <v>522</v>
      </c>
      <c r="E183" s="4">
        <v>13</v>
      </c>
      <c r="F183" s="4">
        <v>648.16097876466279</v>
      </c>
      <c r="H183" s="4">
        <v>5</v>
      </c>
      <c r="I183" s="4">
        <v>3</v>
      </c>
    </row>
    <row r="184" spans="1:9">
      <c r="A184" s="4" t="s">
        <v>182</v>
      </c>
      <c r="B184" s="4" t="s">
        <v>583</v>
      </c>
      <c r="C184" s="4" t="s">
        <v>10</v>
      </c>
      <c r="D184" s="4" t="s">
        <v>313</v>
      </c>
      <c r="F184" s="4">
        <v>5.2529935346168033</v>
      </c>
      <c r="H184" s="4">
        <v>2</v>
      </c>
      <c r="I184" s="4">
        <v>1</v>
      </c>
    </row>
    <row r="185" spans="1:9">
      <c r="A185" s="4" t="s">
        <v>200</v>
      </c>
      <c r="B185" s="4" t="s">
        <v>584</v>
      </c>
      <c r="C185" s="4" t="s">
        <v>10</v>
      </c>
      <c r="F185" s="4">
        <v>64.358947526679671</v>
      </c>
    </row>
    <row r="186" spans="1:9">
      <c r="A186" s="4" t="s">
        <v>213</v>
      </c>
      <c r="B186" s="4" t="s">
        <v>585</v>
      </c>
      <c r="C186" s="4" t="s">
        <v>10</v>
      </c>
      <c r="D186" s="4" t="s">
        <v>320</v>
      </c>
      <c r="E186" s="4">
        <v>17</v>
      </c>
      <c r="F186" s="4">
        <v>2836.9473133809042</v>
      </c>
      <c r="H186" s="4">
        <v>4</v>
      </c>
      <c r="I186" s="4">
        <v>3</v>
      </c>
    </row>
    <row r="187" spans="1:9">
      <c r="A187" s="4" t="s">
        <v>217</v>
      </c>
      <c r="B187" s="4" t="s">
        <v>586</v>
      </c>
      <c r="C187" s="4" t="s">
        <v>10</v>
      </c>
      <c r="D187" s="4" t="s">
        <v>587</v>
      </c>
      <c r="E187" s="4">
        <v>47.24</v>
      </c>
      <c r="F187" s="4">
        <v>161.22124895711178</v>
      </c>
      <c r="H187" s="4">
        <v>4</v>
      </c>
      <c r="I187" s="4">
        <v>1</v>
      </c>
    </row>
    <row r="188" spans="1:9">
      <c r="A188" s="4" t="s">
        <v>219</v>
      </c>
      <c r="B188" s="4" t="s">
        <v>588</v>
      </c>
      <c r="C188" s="4" t="s">
        <v>10</v>
      </c>
      <c r="D188" s="4" t="s">
        <v>589</v>
      </c>
      <c r="E188" s="4">
        <v>47.24</v>
      </c>
      <c r="F188" s="4">
        <v>93.432191942566149</v>
      </c>
      <c r="H188" s="4">
        <v>4</v>
      </c>
      <c r="I188" s="4">
        <v>1</v>
      </c>
    </row>
    <row r="189" spans="1:9">
      <c r="A189" s="4" t="s">
        <v>229</v>
      </c>
      <c r="B189" s="4" t="s">
        <v>590</v>
      </c>
      <c r="C189" s="4" t="s">
        <v>10</v>
      </c>
      <c r="D189" s="4" t="s">
        <v>591</v>
      </c>
      <c r="E189" s="4">
        <v>47.24</v>
      </c>
      <c r="F189" s="4">
        <v>161.22124895711178</v>
      </c>
      <c r="H189" s="4">
        <v>4</v>
      </c>
      <c r="I189" s="4">
        <v>1</v>
      </c>
    </row>
    <row r="190" spans="1:9">
      <c r="A190" s="4" t="s">
        <v>231</v>
      </c>
      <c r="B190" s="4" t="s">
        <v>592</v>
      </c>
      <c r="C190" s="4" t="s">
        <v>10</v>
      </c>
      <c r="D190" s="4" t="s">
        <v>468</v>
      </c>
      <c r="F190" s="4">
        <v>161.22124895711178</v>
      </c>
      <c r="H190" s="4">
        <v>5</v>
      </c>
    </row>
    <row r="191" spans="1:9">
      <c r="A191" s="4" t="s">
        <v>254</v>
      </c>
      <c r="B191" s="4" t="s">
        <v>254</v>
      </c>
      <c r="C191" s="4" t="s">
        <v>10</v>
      </c>
      <c r="D191" s="4" t="s">
        <v>466</v>
      </c>
      <c r="E191" s="4">
        <v>322.2</v>
      </c>
      <c r="F191" s="4">
        <v>161.22124895711178</v>
      </c>
      <c r="H191" s="4">
        <v>6</v>
      </c>
      <c r="I191" s="4">
        <v>1</v>
      </c>
    </row>
    <row r="192" spans="1:9">
      <c r="A192" s="4" t="s">
        <v>593</v>
      </c>
      <c r="B192" s="4" t="s">
        <v>593</v>
      </c>
      <c r="C192" s="4" t="s">
        <v>10</v>
      </c>
      <c r="D192" s="4" t="s">
        <v>594</v>
      </c>
      <c r="F192" s="4">
        <v>161.22124895711178</v>
      </c>
      <c r="H192" s="4">
        <v>4</v>
      </c>
      <c r="I192" s="4">
        <v>1</v>
      </c>
    </row>
    <row r="193" spans="1:9">
      <c r="A193" s="4" t="s">
        <v>258</v>
      </c>
      <c r="B193" s="4" t="s">
        <v>595</v>
      </c>
      <c r="C193" s="4" t="s">
        <v>10</v>
      </c>
      <c r="F193" s="4">
        <v>161.22124895711178</v>
      </c>
    </row>
    <row r="194" spans="1:9">
      <c r="A194" s="4" t="s">
        <v>272</v>
      </c>
      <c r="B194" s="4" t="s">
        <v>272</v>
      </c>
      <c r="C194" s="4" t="s">
        <v>10</v>
      </c>
      <c r="D194" s="4" t="s">
        <v>468</v>
      </c>
      <c r="E194" s="4">
        <v>9</v>
      </c>
      <c r="F194" s="4">
        <v>161.22124895711178</v>
      </c>
      <c r="H194" s="4">
        <v>5</v>
      </c>
      <c r="I194" s="4">
        <v>1</v>
      </c>
    </row>
    <row r="195" spans="1:9">
      <c r="A195" s="4" t="s">
        <v>273</v>
      </c>
      <c r="B195" s="4" t="s">
        <v>273</v>
      </c>
      <c r="C195" s="4" t="s">
        <v>10</v>
      </c>
      <c r="D195" s="4" t="s">
        <v>468</v>
      </c>
      <c r="E195" s="4">
        <v>18</v>
      </c>
      <c r="F195" s="4">
        <v>161.22124895711178</v>
      </c>
      <c r="H195" s="4">
        <v>5</v>
      </c>
      <c r="I195" s="4">
        <v>1</v>
      </c>
    </row>
    <row r="196" spans="1:9">
      <c r="A196" s="4" t="s">
        <v>283</v>
      </c>
      <c r="B196" s="4" t="s">
        <v>283</v>
      </c>
      <c r="C196" s="4" t="s">
        <v>10</v>
      </c>
    </row>
    <row r="197" spans="1:9">
      <c r="A197" s="4" t="s">
        <v>284</v>
      </c>
      <c r="B197" s="4" t="s">
        <v>284</v>
      </c>
      <c r="C197" s="4" t="s">
        <v>10</v>
      </c>
      <c r="D197" s="4" t="s">
        <v>468</v>
      </c>
      <c r="F197" s="4">
        <v>161.22124895711178</v>
      </c>
      <c r="H197" s="4">
        <v>5</v>
      </c>
      <c r="I197" s="4">
        <v>1</v>
      </c>
    </row>
    <row r="198" spans="1:9">
      <c r="A198" s="4" t="s">
        <v>596</v>
      </c>
      <c r="B198" s="4" t="s">
        <v>597</v>
      </c>
      <c r="C198" s="4" t="s">
        <v>10</v>
      </c>
      <c r="D198" s="4" t="s">
        <v>510</v>
      </c>
      <c r="E198" s="4">
        <v>1</v>
      </c>
      <c r="F198" s="4">
        <v>556.00268914420349</v>
      </c>
      <c r="H198" s="4">
        <v>4</v>
      </c>
      <c r="I198" s="4">
        <v>3</v>
      </c>
    </row>
    <row r="199" spans="1:9">
      <c r="A199" s="4" t="s">
        <v>287</v>
      </c>
      <c r="B199" s="4" t="s">
        <v>287</v>
      </c>
      <c r="C199" s="4" t="s">
        <v>10</v>
      </c>
    </row>
    <row r="200" spans="1:9">
      <c r="A200" s="4" t="s">
        <v>56</v>
      </c>
      <c r="B200" s="4" t="s">
        <v>598</v>
      </c>
      <c r="C200" s="4" t="s">
        <v>20</v>
      </c>
      <c r="D200" s="4" t="s">
        <v>599</v>
      </c>
      <c r="E200" s="4">
        <v>20.49</v>
      </c>
      <c r="F200" s="4">
        <v>200</v>
      </c>
      <c r="H200" s="4">
        <v>3</v>
      </c>
      <c r="I200" s="4">
        <v>1</v>
      </c>
    </row>
    <row r="201" spans="1:9">
      <c r="A201" s="4" t="s">
        <v>94</v>
      </c>
      <c r="B201" s="4" t="s">
        <v>600</v>
      </c>
      <c r="C201" s="4" t="s">
        <v>20</v>
      </c>
      <c r="D201" s="4" t="s">
        <v>601</v>
      </c>
      <c r="F201" s="4">
        <v>100.79047705176647</v>
      </c>
      <c r="H201" s="4">
        <v>4</v>
      </c>
      <c r="I201" s="4">
        <v>1</v>
      </c>
    </row>
    <row r="202" spans="1:9">
      <c r="A202" s="4" t="s">
        <v>107</v>
      </c>
      <c r="B202" s="4" t="s">
        <v>107</v>
      </c>
      <c r="C202" s="4" t="s">
        <v>20</v>
      </c>
      <c r="D202" s="4" t="s">
        <v>377</v>
      </c>
      <c r="E202" s="4">
        <v>237</v>
      </c>
      <c r="F202" s="4">
        <v>80.319051204101015</v>
      </c>
      <c r="H202" s="4">
        <v>6</v>
      </c>
      <c r="I202" s="4">
        <v>3</v>
      </c>
    </row>
    <row r="203" spans="1:9">
      <c r="A203" s="4" t="s">
        <v>132</v>
      </c>
      <c r="B203" s="4" t="s">
        <v>132</v>
      </c>
      <c r="C203" s="4" t="s">
        <v>20</v>
      </c>
      <c r="D203" s="4" t="s">
        <v>500</v>
      </c>
      <c r="E203" s="4">
        <v>124.38</v>
      </c>
      <c r="F203" s="4">
        <v>200</v>
      </c>
      <c r="H203" s="4">
        <v>4</v>
      </c>
      <c r="I203" s="4">
        <v>3</v>
      </c>
    </row>
    <row r="204" spans="1:9">
      <c r="A204" s="4" t="s">
        <v>19</v>
      </c>
      <c r="B204" s="4" t="s">
        <v>602</v>
      </c>
      <c r="C204" s="4" t="s">
        <v>20</v>
      </c>
      <c r="D204" s="4" t="s">
        <v>350</v>
      </c>
      <c r="F204" s="4">
        <v>217.8898459511226</v>
      </c>
      <c r="H204" s="4">
        <v>4</v>
      </c>
      <c r="I204" s="4">
        <v>1</v>
      </c>
    </row>
    <row r="205" spans="1:9">
      <c r="A205" s="4" t="s">
        <v>216</v>
      </c>
      <c r="B205" s="4" t="s">
        <v>603</v>
      </c>
      <c r="C205" s="4" t="s">
        <v>20</v>
      </c>
      <c r="D205" s="4" t="s">
        <v>326</v>
      </c>
      <c r="I205" s="4">
        <v>2</v>
      </c>
    </row>
    <row r="206" spans="1:9">
      <c r="A206" s="4" t="s">
        <v>215</v>
      </c>
      <c r="B206" s="4" t="s">
        <v>215</v>
      </c>
      <c r="C206" s="4" t="s">
        <v>20</v>
      </c>
      <c r="F206" s="4">
        <v>3.1737215953354062E-2</v>
      </c>
    </row>
    <row r="207" spans="1:9">
      <c r="A207" s="4" t="s">
        <v>221</v>
      </c>
      <c r="B207" s="4" t="s">
        <v>604</v>
      </c>
      <c r="C207" s="4" t="s">
        <v>20</v>
      </c>
      <c r="D207" s="4" t="s">
        <v>500</v>
      </c>
      <c r="F207" s="4">
        <v>200</v>
      </c>
      <c r="H207" s="4">
        <v>4</v>
      </c>
      <c r="I207" s="4">
        <v>3</v>
      </c>
    </row>
    <row r="208" spans="1:9">
      <c r="A208" s="4" t="s">
        <v>223</v>
      </c>
      <c r="B208" s="4" t="s">
        <v>223</v>
      </c>
      <c r="C208" s="4" t="s">
        <v>20</v>
      </c>
      <c r="D208" s="4" t="s">
        <v>605</v>
      </c>
      <c r="E208" s="4">
        <v>31.18</v>
      </c>
      <c r="F208" s="4">
        <v>200</v>
      </c>
      <c r="H208" s="4">
        <v>4</v>
      </c>
      <c r="I208" s="4">
        <v>1</v>
      </c>
    </row>
    <row r="209" spans="1:9">
      <c r="A209" s="4" t="s">
        <v>225</v>
      </c>
      <c r="B209" s="4" t="s">
        <v>225</v>
      </c>
      <c r="C209" s="4" t="s">
        <v>20</v>
      </c>
      <c r="D209" s="4" t="s">
        <v>510</v>
      </c>
      <c r="E209" s="4">
        <v>10</v>
      </c>
      <c r="F209" s="4">
        <v>200</v>
      </c>
      <c r="H209" s="4">
        <v>4</v>
      </c>
      <c r="I209" s="4">
        <v>3</v>
      </c>
    </row>
    <row r="210" spans="1:9">
      <c r="A210" s="4" t="s">
        <v>227</v>
      </c>
      <c r="B210" s="4" t="s">
        <v>227</v>
      </c>
      <c r="C210" s="4" t="s">
        <v>20</v>
      </c>
      <c r="D210" s="4" t="s">
        <v>464</v>
      </c>
      <c r="F210" s="4">
        <v>200</v>
      </c>
      <c r="H210" s="4">
        <v>5</v>
      </c>
      <c r="I210" s="4">
        <v>1</v>
      </c>
    </row>
    <row r="211" spans="1:9">
      <c r="A211" s="4" t="s">
        <v>232</v>
      </c>
      <c r="B211" s="4" t="s">
        <v>606</v>
      </c>
      <c r="C211" s="4" t="s">
        <v>20</v>
      </c>
      <c r="D211" s="4" t="s">
        <v>498</v>
      </c>
      <c r="E211" s="4">
        <v>630.6</v>
      </c>
      <c r="F211" s="4">
        <v>12.527234689481087</v>
      </c>
      <c r="H211" s="4">
        <v>1</v>
      </c>
      <c r="I211" s="4">
        <v>1</v>
      </c>
    </row>
    <row r="212" spans="1:9">
      <c r="A212" s="4" t="s">
        <v>250</v>
      </c>
      <c r="B212" s="4" t="s">
        <v>607</v>
      </c>
      <c r="C212" s="4" t="s">
        <v>20</v>
      </c>
      <c r="D212" s="4" t="s">
        <v>320</v>
      </c>
      <c r="F212" s="4">
        <v>1864.30255997415</v>
      </c>
      <c r="H212" s="4">
        <v>4</v>
      </c>
      <c r="I212" s="4">
        <v>3</v>
      </c>
    </row>
    <row r="213" spans="1:9">
      <c r="A213" s="4" t="s">
        <v>252</v>
      </c>
      <c r="B213" s="4" t="s">
        <v>252</v>
      </c>
      <c r="C213" s="4" t="s">
        <v>20</v>
      </c>
      <c r="F213" s="4">
        <v>3.1737215953354062E-2</v>
      </c>
    </row>
    <row r="214" spans="1:9">
      <c r="A214" s="4" t="s">
        <v>256</v>
      </c>
      <c r="B214" s="4" t="s">
        <v>256</v>
      </c>
      <c r="C214" s="4" t="s">
        <v>20</v>
      </c>
      <c r="D214" s="4" t="s">
        <v>608</v>
      </c>
      <c r="E214" s="4">
        <v>42.73</v>
      </c>
      <c r="F214" s="4">
        <v>200</v>
      </c>
      <c r="H214" s="4">
        <v>3</v>
      </c>
      <c r="I214" s="4">
        <v>1</v>
      </c>
    </row>
    <row r="215" spans="1:9">
      <c r="A215" s="4" t="s">
        <v>609</v>
      </c>
      <c r="B215" s="4" t="s">
        <v>610</v>
      </c>
      <c r="C215" s="4" t="s">
        <v>20</v>
      </c>
      <c r="D215" s="4" t="s">
        <v>611</v>
      </c>
      <c r="E215" s="4">
        <v>230</v>
      </c>
      <c r="F215" s="4">
        <v>129.854341510739</v>
      </c>
      <c r="H215" s="4">
        <v>4</v>
      </c>
      <c r="I215" s="4">
        <v>1</v>
      </c>
    </row>
    <row r="216" spans="1:9">
      <c r="A216" s="4" t="s">
        <v>612</v>
      </c>
      <c r="B216" s="4" t="s">
        <v>613</v>
      </c>
      <c r="C216" s="4" t="s">
        <v>20</v>
      </c>
      <c r="D216" s="4" t="s">
        <v>614</v>
      </c>
      <c r="E216" s="4">
        <v>427</v>
      </c>
      <c r="F216" s="4">
        <v>688.50801270442935</v>
      </c>
      <c r="H216" s="4">
        <v>5</v>
      </c>
      <c r="I216" s="4">
        <v>1</v>
      </c>
    </row>
    <row r="217" spans="1:9">
      <c r="A217" s="4" t="s">
        <v>279</v>
      </c>
      <c r="B217" s="4" t="s">
        <v>615</v>
      </c>
      <c r="C217" s="4" t="s">
        <v>20</v>
      </c>
      <c r="D217" s="4" t="s">
        <v>616</v>
      </c>
      <c r="E217" s="4">
        <v>1539</v>
      </c>
      <c r="F217" s="4">
        <v>2459.96135682262</v>
      </c>
      <c r="H217" s="4">
        <v>5</v>
      </c>
      <c r="I217" s="4">
        <v>3</v>
      </c>
    </row>
    <row r="218" spans="1:9">
      <c r="A218" s="4" t="s">
        <v>286</v>
      </c>
      <c r="B218" s="4" t="s">
        <v>617</v>
      </c>
      <c r="C218" s="4" t="s">
        <v>20</v>
      </c>
      <c r="D218" s="4" t="s">
        <v>468</v>
      </c>
      <c r="F218" s="4">
        <v>100.79047705176647</v>
      </c>
      <c r="H218" s="4">
        <v>5</v>
      </c>
      <c r="I218" s="4">
        <v>1</v>
      </c>
    </row>
    <row r="219" spans="1:9">
      <c r="A219" s="4" t="s">
        <v>190</v>
      </c>
      <c r="B219" s="4" t="s">
        <v>618</v>
      </c>
      <c r="C219" s="4" t="s">
        <v>20</v>
      </c>
      <c r="D219" s="4" t="s">
        <v>480</v>
      </c>
      <c r="E219" s="4">
        <v>530</v>
      </c>
      <c r="I219" s="4">
        <v>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BAA7D-8594-8344-A56B-DA841B2DAE52}">
  <sheetPr filterMode="1">
    <tabColor rgb="FFFF0000"/>
  </sheetPr>
  <dimension ref="A1:AB176"/>
  <sheetViews>
    <sheetView tabSelected="1" zoomScale="130" zoomScaleNormal="130" workbookViewId="0">
      <pane ySplit="1" topLeftCell="A2" activePane="bottomLeft" state="frozen"/>
      <selection pane="bottomLeft" activeCell="C4" sqref="C4"/>
    </sheetView>
  </sheetViews>
  <sheetFormatPr defaultColWidth="11.5546875" defaultRowHeight="14.4" outlineLevelCol="1"/>
  <cols>
    <col min="1" max="1" width="24" style="1" customWidth="1"/>
    <col min="2" max="2" width="3.33203125" style="1" customWidth="1"/>
    <col min="3" max="3" width="10.77734375" style="1"/>
    <col min="5" max="5" width="38.109375" style="1" customWidth="1"/>
    <col min="6" max="6" width="56.77734375" style="2" hidden="1" customWidth="1" outlineLevel="1"/>
    <col min="7" max="7" width="31.77734375" hidden="1" customWidth="1" outlineLevel="1"/>
    <col min="8" max="11" width="10.77734375" hidden="1" customWidth="1" outlineLevel="1"/>
    <col min="12" max="12" width="11.6640625" hidden="1" customWidth="1" outlineLevel="1"/>
    <col min="13" max="13" width="11.77734375" bestFit="1" customWidth="1" collapsed="1"/>
    <col min="14" max="16" width="11.77734375" style="1" customWidth="1"/>
    <col min="17" max="17" width="11" bestFit="1" customWidth="1"/>
    <col min="18" max="18" width="11" style="1" customWidth="1"/>
    <col min="19" max="19" width="12.6640625" style="125" bestFit="1" customWidth="1"/>
    <col min="20" max="21" width="16.6640625" style="125" customWidth="1"/>
    <col min="23" max="23" width="38.109375" style="115" customWidth="1"/>
    <col min="24" max="24" width="38.109375" style="112" customWidth="1"/>
  </cols>
  <sheetData>
    <row r="1" spans="1:25" ht="100.8">
      <c r="A1" s="1" t="s">
        <v>2292</v>
      </c>
      <c r="B1" s="2" t="s">
        <v>1048</v>
      </c>
      <c r="C1" s="2" t="s">
        <v>876</v>
      </c>
      <c r="D1" s="2" t="s">
        <v>840</v>
      </c>
      <c r="E1" s="31" t="s">
        <v>1</v>
      </c>
      <c r="F1" s="31" t="s">
        <v>292</v>
      </c>
      <c r="G1" s="137" t="s">
        <v>1455</v>
      </c>
      <c r="H1" s="2" t="s">
        <v>841</v>
      </c>
      <c r="I1" s="2" t="s">
        <v>842</v>
      </c>
      <c r="J1" s="2" t="s">
        <v>843</v>
      </c>
      <c r="K1" s="2" t="s">
        <v>1377</v>
      </c>
      <c r="L1" s="2" t="s">
        <v>1378</v>
      </c>
      <c r="M1" s="137" t="s">
        <v>1448</v>
      </c>
      <c r="N1" s="159" t="s">
        <v>2267</v>
      </c>
      <c r="O1" s="159" t="s">
        <v>2266</v>
      </c>
      <c r="P1" s="159" t="s">
        <v>2268</v>
      </c>
      <c r="Q1" s="137" t="s">
        <v>1385</v>
      </c>
      <c r="R1" s="137" t="s">
        <v>1386</v>
      </c>
      <c r="S1" s="136" t="s">
        <v>1993</v>
      </c>
      <c r="T1" s="136" t="s">
        <v>2289</v>
      </c>
      <c r="U1" s="136" t="s">
        <v>2269</v>
      </c>
      <c r="V1" s="137" t="s">
        <v>844</v>
      </c>
      <c r="W1" s="114" t="s">
        <v>1134</v>
      </c>
      <c r="X1" s="111" t="s">
        <v>1133</v>
      </c>
      <c r="Y1" s="137" t="s">
        <v>1995</v>
      </c>
    </row>
    <row r="2" spans="1:25" hidden="1">
      <c r="B2" s="1" t="s">
        <v>970</v>
      </c>
      <c r="C2" s="1" t="s">
        <v>916</v>
      </c>
      <c r="D2" s="1" t="s">
        <v>621</v>
      </c>
      <c r="E2" s="138" t="str">
        <f>VLOOKUP(F2, 'FULL REFERENCE'!F:G, 2, FALSE)</f>
        <v>Antenatal and postpartum education</v>
      </c>
      <c r="F2" s="2" t="str">
        <f>VLOOKUP(D2, 'FULL REFERENCE'!A:B, 2, FALSE)</f>
        <v>Antenatal and postpartum education on family planning</v>
      </c>
      <c r="G2" s="1" t="s">
        <v>917</v>
      </c>
      <c r="H2" s="1" t="s">
        <v>918</v>
      </c>
      <c r="I2" s="1" t="s">
        <v>846</v>
      </c>
      <c r="J2" s="1" t="s">
        <v>919</v>
      </c>
      <c r="K2" s="1">
        <v>0.248529494536535</v>
      </c>
      <c r="L2" s="1">
        <v>136.69122199509425</v>
      </c>
      <c r="M2" s="1">
        <f t="shared" ref="M2:M18" si="0">L2</f>
        <v>136.69122199509425</v>
      </c>
      <c r="N2" s="128">
        <f t="shared" ref="N2:N18" si="1">(M2*0.7*Salary_CIV_cost_uplift)+(M2*0.3)</f>
        <v>219.45706052407431</v>
      </c>
      <c r="O2" s="128">
        <f>N2*1.062</f>
        <v>233.06339827656691</v>
      </c>
      <c r="P2" s="218">
        <f>O2/550</f>
        <v>0.42375163323012166</v>
      </c>
      <c r="Q2" s="7">
        <v>0.8</v>
      </c>
      <c r="R2" s="163">
        <v>0.8</v>
      </c>
      <c r="S2" s="128">
        <f>'Population cible'!C4</f>
        <v>1049902</v>
      </c>
      <c r="T2" s="128">
        <f>S2*Q2*O2</f>
        <v>195754982.38189134</v>
      </c>
      <c r="U2" s="218">
        <f>T2/550</f>
        <v>355918.149785257</v>
      </c>
      <c r="V2" s="1"/>
    </row>
    <row r="3" spans="1:25" hidden="1">
      <c r="C3" s="1" t="s">
        <v>916</v>
      </c>
      <c r="D3" s="1" t="s">
        <v>650</v>
      </c>
      <c r="E3" s="138" t="str">
        <f>VLOOKUP(F3, 'FULL REFERENCE'!F:G, 2, FALSE)</f>
        <v>Education on hygiene</v>
      </c>
      <c r="F3" s="2" t="str">
        <f>VLOOKUP(D3, 'FULL REFERENCE'!A:B, 2, FALSE)</f>
        <v>Education on handwashing and safe disposal of children's stools</v>
      </c>
      <c r="G3" s="1" t="s">
        <v>951</v>
      </c>
      <c r="H3" s="1" t="s">
        <v>918</v>
      </c>
      <c r="I3" s="1" t="s">
        <v>846</v>
      </c>
      <c r="J3" s="1"/>
      <c r="K3" s="1">
        <v>4.2925946792905298</v>
      </c>
      <c r="L3" s="1">
        <v>2360.9270736097915</v>
      </c>
      <c r="M3" s="1">
        <f t="shared" si="0"/>
        <v>2360.9270736097915</v>
      </c>
      <c r="N3" s="128">
        <f t="shared" si="1"/>
        <v>3790.456388667772</v>
      </c>
      <c r="O3" s="128">
        <f t="shared" ref="O3:O18" si="2">N3*1.062</f>
        <v>4025.4646847651738</v>
      </c>
      <c r="P3" s="218">
        <f t="shared" ref="P3:P66" si="3">O3/550</f>
        <v>7.3190266995730431</v>
      </c>
      <c r="Q3" s="130">
        <v>0.8</v>
      </c>
      <c r="R3" s="163">
        <v>0.8</v>
      </c>
      <c r="S3" s="125">
        <f>'Population cible'!C4</f>
        <v>1049902</v>
      </c>
      <c r="T3" s="128">
        <f t="shared" ref="T3:T66" si="4">S3*Q3*O3</f>
        <v>3381074738.771461</v>
      </c>
      <c r="U3" s="218">
        <f t="shared" ref="U3:U66" si="5">T3/550</f>
        <v>6147408.6159481108</v>
      </c>
      <c r="V3" s="1"/>
    </row>
    <row r="4" spans="1:25" hidden="1">
      <c r="B4" s="1" t="s">
        <v>970</v>
      </c>
      <c r="C4" s="1" t="s">
        <v>916</v>
      </c>
      <c r="D4" s="1" t="s">
        <v>651</v>
      </c>
      <c r="E4" s="138" t="str">
        <f>VLOOKUP(F4, 'FULL REFERENCE'!F:G, 2, FALSE)</f>
        <v>Pneumococcus vaccination</v>
      </c>
      <c r="F4" s="2" t="str">
        <f>VLOOKUP(D4, 'FULL REFERENCE'!A:B, 2, FALSE)</f>
        <v>Pneumococcus vaccination</v>
      </c>
      <c r="G4" s="1" t="s">
        <v>952</v>
      </c>
      <c r="H4" s="1" t="s">
        <v>918</v>
      </c>
      <c r="I4" s="1" t="s">
        <v>846</v>
      </c>
      <c r="J4" s="1" t="s">
        <v>919</v>
      </c>
      <c r="K4" s="1">
        <f>3.3*3</f>
        <v>9.8999999999999986</v>
      </c>
      <c r="L4" s="1">
        <f>K4*550</f>
        <v>5444.9999999999991</v>
      </c>
      <c r="M4" s="1">
        <f t="shared" si="0"/>
        <v>5444.9999999999991</v>
      </c>
      <c r="N4" s="128">
        <f t="shared" si="1"/>
        <v>8741.9197598253231</v>
      </c>
      <c r="O4" s="128">
        <f t="shared" si="2"/>
        <v>9283.9187849344944</v>
      </c>
      <c r="P4" s="218">
        <f t="shared" si="3"/>
        <v>16.879852336244536</v>
      </c>
      <c r="Q4" s="7">
        <v>0.49</v>
      </c>
      <c r="R4" s="163">
        <v>0.8</v>
      </c>
      <c r="S4" s="125">
        <f>'Population cible'!C5</f>
        <v>1582755</v>
      </c>
      <c r="T4" s="128">
        <f t="shared" si="4"/>
        <v>7200142749.4600077</v>
      </c>
      <c r="U4" s="218">
        <f t="shared" si="5"/>
        <v>13091168.635381833</v>
      </c>
      <c r="V4" s="1" t="s">
        <v>1120</v>
      </c>
    </row>
    <row r="5" spans="1:25" hidden="1">
      <c r="B5" s="1" t="s">
        <v>970</v>
      </c>
      <c r="C5" s="1" t="s">
        <v>916</v>
      </c>
      <c r="D5" s="1" t="s">
        <v>652</v>
      </c>
      <c r="E5" s="138" t="str">
        <f>VLOOKUP(F5, 'FULL REFERENCE'!F:G, 2, FALSE)</f>
        <v>Rotavirus vaccination</v>
      </c>
      <c r="F5" s="2" t="str">
        <f>VLOOKUP(D5, 'FULL REFERENCE'!A:B, 2, FALSE)</f>
        <v>Rotavirus vaccination</v>
      </c>
      <c r="G5" s="1" t="s">
        <v>953</v>
      </c>
      <c r="H5" s="1" t="s">
        <v>918</v>
      </c>
      <c r="I5" s="1" t="s">
        <v>846</v>
      </c>
      <c r="J5" s="1" t="s">
        <v>919</v>
      </c>
      <c r="K5" s="1">
        <f>2.6*3</f>
        <v>7.8000000000000007</v>
      </c>
      <c r="L5" s="1">
        <v>5775</v>
      </c>
      <c r="M5" s="1">
        <f t="shared" si="0"/>
        <v>5775</v>
      </c>
      <c r="N5" s="128">
        <f t="shared" si="1"/>
        <v>9271.7330786026178</v>
      </c>
      <c r="O5" s="128">
        <f t="shared" si="2"/>
        <v>9846.5805294759812</v>
      </c>
      <c r="P5" s="218">
        <f t="shared" si="3"/>
        <v>17.90287368995633</v>
      </c>
      <c r="Q5" s="7">
        <v>0.16</v>
      </c>
      <c r="R5" s="163">
        <v>0.8</v>
      </c>
      <c r="S5" s="125">
        <f>'Population cible'!C5</f>
        <v>1582755</v>
      </c>
      <c r="T5" s="128">
        <f t="shared" si="4"/>
        <v>2493555930.5489211</v>
      </c>
      <c r="U5" s="218">
        <f t="shared" si="5"/>
        <v>4533738.0555434925</v>
      </c>
      <c r="V5" s="1" t="s">
        <v>1120</v>
      </c>
    </row>
    <row r="6" spans="1:25" ht="28.8" hidden="1">
      <c r="C6" s="1" t="s">
        <v>916</v>
      </c>
      <c r="D6" s="1" t="s">
        <v>653</v>
      </c>
      <c r="E6" s="157" t="str">
        <f>VLOOKUP(F6, 'FULL REFERENCE'!F:G, 2, FALSE)</f>
        <v>Cotrimoxazole for children</v>
      </c>
      <c r="F6" s="2" t="str">
        <f>VLOOKUP(D6, 'FULL REFERENCE'!A:B, 2, FALSE)</f>
        <v>Provision of cotrimoxazole to children born to HIV-positive mothers</v>
      </c>
      <c r="G6" s="1" t="s">
        <v>954</v>
      </c>
      <c r="H6" s="1" t="s">
        <v>918</v>
      </c>
      <c r="I6" s="1" t="s">
        <v>846</v>
      </c>
      <c r="J6" s="1" t="s">
        <v>919</v>
      </c>
      <c r="K6" s="1">
        <v>80.443131461033275</v>
      </c>
      <c r="L6" s="1">
        <v>44243.722303568298</v>
      </c>
      <c r="M6" s="1">
        <f t="shared" si="0"/>
        <v>44243.722303568298</v>
      </c>
      <c r="N6" s="128">
        <f t="shared" si="1"/>
        <v>71033.070753680106</v>
      </c>
      <c r="O6" s="128">
        <f t="shared" si="2"/>
        <v>75437.121140408271</v>
      </c>
      <c r="P6" s="218">
        <f t="shared" si="3"/>
        <v>137.15840207346957</v>
      </c>
      <c r="Q6" s="130">
        <v>0.5</v>
      </c>
      <c r="R6" s="163">
        <v>0.8</v>
      </c>
      <c r="S6" s="125">
        <f>'Population cible'!C81</f>
        <v>25000</v>
      </c>
      <c r="T6" s="128">
        <f t="shared" si="4"/>
        <v>942964014.25510335</v>
      </c>
      <c r="U6" s="218">
        <f t="shared" si="5"/>
        <v>1714480.0259183696</v>
      </c>
      <c r="V6" s="1" t="s">
        <v>1994</v>
      </c>
      <c r="Y6" s="1" t="s">
        <v>1994</v>
      </c>
    </row>
    <row r="7" spans="1:25" ht="100.8" hidden="1">
      <c r="A7" s="1" t="s">
        <v>2286</v>
      </c>
      <c r="C7" s="1" t="s">
        <v>1119</v>
      </c>
      <c r="D7" s="27" t="s">
        <v>654</v>
      </c>
      <c r="E7" s="138" t="str">
        <f>VLOOKUP(F7, 'FULL REFERENCE'!F:G, 2, FALSE)</f>
        <v>Vitamin A and zinc for children</v>
      </c>
      <c r="F7" s="1" t="str">
        <f>VLOOKUP(D7, 'FULL REFERENCE'!A:B, 2, FALSE)</f>
        <v>Provision of vitamin A and zinc supplementation to children according to WHO guidelines, and provision of food supplementation to women and children in food insecure households</v>
      </c>
      <c r="G7" s="28" t="s">
        <v>955</v>
      </c>
      <c r="H7" s="28" t="s">
        <v>847</v>
      </c>
      <c r="I7" s="28" t="s">
        <v>846</v>
      </c>
      <c r="J7" s="28"/>
      <c r="K7" s="28">
        <v>2.0609322772375127</v>
      </c>
      <c r="L7" s="28">
        <v>1133.5127524806319</v>
      </c>
      <c r="M7" s="1">
        <f t="shared" si="0"/>
        <v>1133.5127524806319</v>
      </c>
      <c r="N7" s="128">
        <f t="shared" si="1"/>
        <v>1819.8489492974159</v>
      </c>
      <c r="O7" s="128">
        <f t="shared" si="2"/>
        <v>1932.6795841538558</v>
      </c>
      <c r="P7" s="218">
        <f t="shared" si="3"/>
        <v>3.5139628802797378</v>
      </c>
      <c r="Q7" s="29">
        <v>0.95</v>
      </c>
      <c r="R7" s="163">
        <v>0.95</v>
      </c>
      <c r="S7" s="156">
        <f>'Population cible'!C6</f>
        <v>3988676.8687941195</v>
      </c>
      <c r="T7" s="128">
        <f t="shared" si="4"/>
        <v>7323392634.4998655</v>
      </c>
      <c r="U7" s="218">
        <f t="shared" si="5"/>
        <v>13315259.3354543</v>
      </c>
      <c r="V7" s="27" t="s">
        <v>1122</v>
      </c>
    </row>
    <row r="8" spans="1:25" ht="28.8" hidden="1">
      <c r="B8" s="1" t="s">
        <v>970</v>
      </c>
      <c r="C8" s="1" t="s">
        <v>916</v>
      </c>
      <c r="D8" s="1" t="s">
        <v>656</v>
      </c>
      <c r="E8" s="138" t="str">
        <f>VLOOKUP(F8, 'FULL REFERENCE'!F:G, 2, FALSE)</f>
        <v>Childhood vaccination series</v>
      </c>
      <c r="F8" s="2" t="str">
        <f>VLOOKUP(D8, 'FULL REFERENCE'!A:B, 2, FALSE)</f>
        <v>Childhood vaccination series (diptheria, pertussis, tetanus, polio, BCG, measles, hepatitis B, Hib, rubella)</v>
      </c>
      <c r="G8" s="1" t="s">
        <v>956</v>
      </c>
      <c r="H8" s="1" t="s">
        <v>918</v>
      </c>
      <c r="I8" s="1" t="s">
        <v>846</v>
      </c>
      <c r="J8" s="1" t="s">
        <v>919</v>
      </c>
      <c r="K8" s="1">
        <v>8.3081131621527771</v>
      </c>
      <c r="L8" s="1">
        <v>4569.4622391840276</v>
      </c>
      <c r="M8" s="1">
        <f t="shared" si="0"/>
        <v>4569.4622391840276</v>
      </c>
      <c r="N8" s="128">
        <f t="shared" si="1"/>
        <v>7336.2483453624482</v>
      </c>
      <c r="O8" s="128">
        <f t="shared" si="2"/>
        <v>7791.0957427749199</v>
      </c>
      <c r="P8" s="218">
        <f t="shared" si="3"/>
        <v>14.165628623227127</v>
      </c>
      <c r="Q8" s="8">
        <v>0.39</v>
      </c>
      <c r="R8" s="163">
        <v>0.8</v>
      </c>
      <c r="S8" s="125">
        <f>'Population cible'!C5</f>
        <v>1582755</v>
      </c>
      <c r="T8" s="128">
        <f t="shared" si="4"/>
        <v>4809244339.5187311</v>
      </c>
      <c r="U8" s="218">
        <f t="shared" si="5"/>
        <v>8744080.6173067838</v>
      </c>
      <c r="V8" s="1" t="s">
        <v>1120</v>
      </c>
      <c r="W8" s="116">
        <v>26681754394.459999</v>
      </c>
      <c r="X8" s="112" t="s">
        <v>1143</v>
      </c>
    </row>
    <row r="9" spans="1:25" hidden="1">
      <c r="C9" s="1" t="s">
        <v>1300</v>
      </c>
      <c r="D9" s="1" t="s">
        <v>657</v>
      </c>
      <c r="E9" s="138" t="str">
        <f>VLOOKUP(F9, 'FULL REFERENCE'!F:G, 2, FALSE)</f>
        <v>Indoor residual spraying</v>
      </c>
      <c r="F9" s="1" t="str">
        <f>VLOOKUP(D9, 'FULL REFERENCE'!A:B, 2, FALSE)</f>
        <v>In high malaria transmission settings, indoor residual spraying (IRS) in selected areas with high transmission and entomologic data on IRS suspectibility</v>
      </c>
      <c r="G9" s="1" t="s">
        <v>850</v>
      </c>
      <c r="H9" s="1" t="s">
        <v>845</v>
      </c>
      <c r="I9" s="1" t="s">
        <v>846</v>
      </c>
      <c r="J9" s="1"/>
      <c r="K9" s="1">
        <v>0.52964517770802444</v>
      </c>
      <c r="L9" s="1">
        <f>K9*550</f>
        <v>291.30484773941345</v>
      </c>
      <c r="M9" s="1">
        <f t="shared" si="0"/>
        <v>291.30484773941345</v>
      </c>
      <c r="N9" s="128">
        <f t="shared" si="1"/>
        <v>467.68844895979544</v>
      </c>
      <c r="O9" s="128">
        <f t="shared" si="2"/>
        <v>496.68513279530276</v>
      </c>
      <c r="P9" s="218">
        <f t="shared" si="3"/>
        <v>0.90306387780964137</v>
      </c>
      <c r="Q9" s="7">
        <v>0.2</v>
      </c>
      <c r="R9" s="163">
        <v>0.8</v>
      </c>
      <c r="T9" s="128">
        <f t="shared" si="4"/>
        <v>0</v>
      </c>
      <c r="U9" s="218">
        <f t="shared" si="5"/>
        <v>0</v>
      </c>
      <c r="V9" s="1"/>
    </row>
    <row r="10" spans="1:25" hidden="1">
      <c r="C10" s="1" t="s">
        <v>916</v>
      </c>
      <c r="D10" s="1" t="s">
        <v>658</v>
      </c>
      <c r="E10" s="138" t="str">
        <f>VLOOKUP(F10, 'FULL REFERENCE'!F:G, 2, FALSE)</f>
        <v>Education of schoolchildren on oral health</v>
      </c>
      <c r="F10" s="2" t="str">
        <f>VLOOKUP(D10, 'FULL REFERENCE'!A:B, 2, FALSE)</f>
        <v>Education of schoolchildren on oral health</v>
      </c>
      <c r="G10" s="1" t="s">
        <v>957</v>
      </c>
      <c r="H10" s="1" t="s">
        <v>918</v>
      </c>
      <c r="I10" s="1" t="s">
        <v>846</v>
      </c>
      <c r="J10" s="1"/>
      <c r="K10" s="1">
        <v>0.5</v>
      </c>
      <c r="L10" s="1">
        <v>275</v>
      </c>
      <c r="M10" s="1">
        <f t="shared" si="0"/>
        <v>275</v>
      </c>
      <c r="N10" s="128">
        <f t="shared" si="1"/>
        <v>441.51109898107705</v>
      </c>
      <c r="O10" s="128">
        <f t="shared" si="2"/>
        <v>468.88478711790384</v>
      </c>
      <c r="P10" s="218">
        <f t="shared" si="3"/>
        <v>0.85251779475982514</v>
      </c>
      <c r="Q10" s="130">
        <v>0.5</v>
      </c>
      <c r="R10" s="220">
        <f>Q10+0.1</f>
        <v>0.6</v>
      </c>
      <c r="S10" s="125">
        <f>'Population cible'!C8</f>
        <v>7052425</v>
      </c>
      <c r="T10" s="128">
        <f t="shared" si="4"/>
        <v>1653387397.3949914</v>
      </c>
      <c r="U10" s="218">
        <f t="shared" si="5"/>
        <v>3006158.9043545299</v>
      </c>
      <c r="V10" s="1"/>
    </row>
    <row r="11" spans="1:25" ht="28.8" hidden="1">
      <c r="C11" s="1" t="s">
        <v>916</v>
      </c>
      <c r="D11" s="1" t="s">
        <v>659</v>
      </c>
      <c r="E11" s="149" t="str">
        <f>VLOOKUP(F11, 'FULL REFERENCE'!F:G, 2, FALSE)</f>
        <v>Vision prescreening, tests and glasses</v>
      </c>
      <c r="F11" s="2" t="str">
        <f>VLOOKUP(D11, 'FULL REFERENCE'!A:B, 2, FALSE)</f>
        <v>Vision prescreening by teachers; vision tests and provision of ready-made glasses on-site by eye specialists</v>
      </c>
      <c r="G11" s="1" t="s">
        <v>958</v>
      </c>
      <c r="H11" s="1" t="s">
        <v>918</v>
      </c>
      <c r="I11" s="1" t="s">
        <v>846</v>
      </c>
      <c r="J11" s="1" t="s">
        <v>919</v>
      </c>
      <c r="K11" s="1">
        <v>0.6</v>
      </c>
      <c r="L11" s="1">
        <v>330</v>
      </c>
      <c r="M11" s="1">
        <f t="shared" si="0"/>
        <v>330</v>
      </c>
      <c r="N11" s="128">
        <f t="shared" si="1"/>
        <v>529.81331877729247</v>
      </c>
      <c r="O11" s="128">
        <f t="shared" si="2"/>
        <v>562.66174454148461</v>
      </c>
      <c r="P11" s="218">
        <f t="shared" si="3"/>
        <v>1.0230213537117903</v>
      </c>
      <c r="Q11" s="130">
        <v>0.2</v>
      </c>
      <c r="R11" s="220">
        <f>Q11+0.1</f>
        <v>0.30000000000000004</v>
      </c>
      <c r="T11" s="128">
        <f t="shared" si="4"/>
        <v>0</v>
      </c>
      <c r="U11" s="218">
        <f t="shared" si="5"/>
        <v>0</v>
      </c>
      <c r="V11" s="1"/>
    </row>
    <row r="12" spans="1:25" ht="28.8" hidden="1">
      <c r="C12" s="1" t="s">
        <v>916</v>
      </c>
      <c r="D12" s="1" t="s">
        <v>622</v>
      </c>
      <c r="E12" s="149" t="str">
        <f>VLOOKUP(F12, 'FULL REFERENCE'!F:G, 2, FALSE)</f>
        <v>Counseling on providing thermal care</v>
      </c>
      <c r="F12" s="2" t="str">
        <f>VLOOKUP(D12, 'FULL REFERENCE'!A:B, 2, FALSE)</f>
        <v>Counseling of mothers on providing thermal care for preterm newborns (delayed bath and skin-to-skin contact)</v>
      </c>
      <c r="G12" s="1" t="s">
        <v>920</v>
      </c>
      <c r="H12" s="1" t="s">
        <v>847</v>
      </c>
      <c r="I12" s="1" t="s">
        <v>846</v>
      </c>
      <c r="J12" s="1" t="s">
        <v>919</v>
      </c>
      <c r="K12" s="1">
        <v>0.118814539054747</v>
      </c>
      <c r="L12" s="1">
        <v>65.347996480110851</v>
      </c>
      <c r="M12" s="1">
        <f t="shared" si="0"/>
        <v>65.347996480110851</v>
      </c>
      <c r="N12" s="128">
        <f t="shared" si="1"/>
        <v>104.91587542598289</v>
      </c>
      <c r="O12" s="128">
        <f t="shared" si="2"/>
        <v>111.42065970239383</v>
      </c>
      <c r="P12" s="218">
        <f t="shared" si="3"/>
        <v>0.20258301764071607</v>
      </c>
      <c r="Q12" s="146">
        <v>0.14000000000000001</v>
      </c>
      <c r="R12" s="163">
        <v>0.8</v>
      </c>
      <c r="S12" s="125">
        <f>'Population cible'!C4</f>
        <v>1049902</v>
      </c>
      <c r="T12" s="128">
        <f t="shared" si="4"/>
        <v>16377308.284800779</v>
      </c>
      <c r="U12" s="218">
        <f t="shared" si="5"/>
        <v>29776.924154183234</v>
      </c>
      <c r="V12" s="1"/>
    </row>
    <row r="13" spans="1:25" hidden="1">
      <c r="C13" s="1" t="s">
        <v>916</v>
      </c>
      <c r="D13" s="1" t="s">
        <v>660</v>
      </c>
      <c r="E13" s="138" t="str">
        <f>VLOOKUP(F13, 'FULL REFERENCE'!F:G, 2, FALSE)</f>
        <v>School based HPV vaccination for girls</v>
      </c>
      <c r="F13" s="2" t="str">
        <f>VLOOKUP(D13, 'FULL REFERENCE'!A:B, 2, FALSE)</f>
        <v>School based HPV vaccination for girls</v>
      </c>
      <c r="G13" s="1" t="s">
        <v>959</v>
      </c>
      <c r="H13" s="1" t="s">
        <v>918</v>
      </c>
      <c r="I13" s="1" t="s">
        <v>846</v>
      </c>
      <c r="J13" s="1" t="s">
        <v>869</v>
      </c>
      <c r="K13" s="1">
        <v>9.1430085225198408</v>
      </c>
      <c r="L13" s="1">
        <v>5028.6546873859124</v>
      </c>
      <c r="M13" s="1">
        <f t="shared" si="0"/>
        <v>5028.6546873859124</v>
      </c>
      <c r="N13" s="128">
        <f t="shared" si="1"/>
        <v>8073.4794815421765</v>
      </c>
      <c r="O13" s="128">
        <f t="shared" si="2"/>
        <v>8574.0352093977926</v>
      </c>
      <c r="P13" s="218">
        <f t="shared" si="3"/>
        <v>15.589154926177805</v>
      </c>
      <c r="Q13" s="7">
        <v>0.2</v>
      </c>
      <c r="R13" s="7">
        <v>0.5</v>
      </c>
      <c r="S13" s="125">
        <f>'Population cible'!C8/2</f>
        <v>3526212.5</v>
      </c>
      <c r="T13" s="128">
        <f t="shared" si="4"/>
        <v>6046774026.163723</v>
      </c>
      <c r="U13" s="218">
        <f t="shared" si="5"/>
        <v>10994134.59302495</v>
      </c>
      <c r="V13" s="1" t="s">
        <v>1959</v>
      </c>
    </row>
    <row r="14" spans="1:25" hidden="1">
      <c r="C14" s="1" t="s">
        <v>1310</v>
      </c>
      <c r="D14" s="1" t="s">
        <v>661</v>
      </c>
      <c r="E14" s="138" t="str">
        <f>VLOOKUP(F14, 'FULL REFERENCE'!F:G, 2, FALSE)</f>
        <v>Mass drug administration (NTDs)</v>
      </c>
      <c r="F14" s="1" t="str">
        <f>VLOOKUP(D14, 'FULL REFERENCE'!A:B, 2, FALSE)</f>
        <v>Mass drug administration for lymphatic filariasis, onchocerciasis, schistosomiasis, soil-transmitted helminthiases and trachoma, and foodborne trematode infections</v>
      </c>
      <c r="G14" s="1" t="s">
        <v>877</v>
      </c>
      <c r="H14" s="1" t="s">
        <v>847</v>
      </c>
      <c r="I14" s="1" t="s">
        <v>846</v>
      </c>
      <c r="J14" s="1"/>
      <c r="K14" s="1">
        <v>0.4546559785461225</v>
      </c>
      <c r="L14" s="1">
        <v>250.06078820036737</v>
      </c>
      <c r="M14" s="1">
        <f t="shared" si="0"/>
        <v>250.06078820036737</v>
      </c>
      <c r="N14" s="128">
        <f t="shared" si="1"/>
        <v>401.47132149243106</v>
      </c>
      <c r="O14" s="128">
        <f t="shared" si="2"/>
        <v>426.36254342496181</v>
      </c>
      <c r="P14" s="218">
        <f t="shared" si="3"/>
        <v>0.77520462440902149</v>
      </c>
      <c r="Q14" s="7">
        <v>0.69</v>
      </c>
      <c r="R14" s="7">
        <v>0.95</v>
      </c>
      <c r="S14" s="125">
        <f>'Population cible'!C9</f>
        <v>17400000</v>
      </c>
      <c r="T14" s="128">
        <f t="shared" si="4"/>
        <v>5118908696.3600912</v>
      </c>
      <c r="U14" s="218">
        <f t="shared" si="5"/>
        <v>9307106.7206547111</v>
      </c>
      <c r="V14" s="1" t="s">
        <v>1450</v>
      </c>
    </row>
    <row r="15" spans="1:25" hidden="1">
      <c r="C15" s="1" t="s">
        <v>916</v>
      </c>
      <c r="D15" s="1" t="s">
        <v>675</v>
      </c>
      <c r="E15" s="149" t="str">
        <f>VLOOKUP(F15, 'FULL REFERENCE'!F:G, 2, FALSE)</f>
        <v>Education campaigns on GBV</v>
      </c>
      <c r="F15" s="2" t="str">
        <f>VLOOKUP(D15, 'FULL REFERENCE'!A:B, 2, FALSE)</f>
        <v>Education campaigns for the prevention of gender-based violence</v>
      </c>
      <c r="G15" s="1" t="s">
        <v>965</v>
      </c>
      <c r="H15" s="1" t="s">
        <v>918</v>
      </c>
      <c r="I15" s="1" t="s">
        <v>846</v>
      </c>
      <c r="J15" s="1"/>
      <c r="K15" s="1">
        <v>0.21691828689811607</v>
      </c>
      <c r="L15" s="1">
        <v>119.30505779396384</v>
      </c>
      <c r="M15" s="1">
        <f t="shared" si="0"/>
        <v>119.30505779396384</v>
      </c>
      <c r="N15" s="128">
        <f t="shared" si="1"/>
        <v>191.5436624749596</v>
      </c>
      <c r="O15" s="128">
        <f t="shared" si="2"/>
        <v>203.4193695484071</v>
      </c>
      <c r="P15" s="218">
        <f t="shared" si="3"/>
        <v>0.36985339917892202</v>
      </c>
      <c r="Q15" s="7">
        <v>0.2</v>
      </c>
      <c r="R15" s="220">
        <f>Q15+0.1</f>
        <v>0.30000000000000004</v>
      </c>
      <c r="T15" s="128">
        <f t="shared" si="4"/>
        <v>0</v>
      </c>
      <c r="U15" s="218">
        <f t="shared" si="5"/>
        <v>0</v>
      </c>
      <c r="V15" s="1"/>
    </row>
    <row r="16" spans="1:25" ht="43.2" hidden="1">
      <c r="C16" s="1" t="s">
        <v>916</v>
      </c>
      <c r="D16" s="1" t="s">
        <v>677</v>
      </c>
      <c r="E16" s="138" t="str">
        <f>VLOOKUP(F16, 'FULL REFERENCE'!F:G, 2, FALSE)</f>
        <v>Iron and folic acid for pregnant women</v>
      </c>
      <c r="F16" s="2" t="str">
        <f>VLOOKUP(D16, 'FULL REFERENCE'!A:B, 2, FALSE)</f>
        <v>Provision of iron and folic acid supplementation to pregnant women, and provision of food or caloric supplementation to pregnant women in food insecure households</v>
      </c>
      <c r="G16" s="1" t="s">
        <v>966</v>
      </c>
      <c r="H16" s="1" t="s">
        <v>918</v>
      </c>
      <c r="I16" s="1" t="s">
        <v>846</v>
      </c>
      <c r="J16" s="1"/>
      <c r="K16" s="1">
        <v>5.5264999999999995</v>
      </c>
      <c r="L16" s="1">
        <v>3039.5749999999998</v>
      </c>
      <c r="M16" s="1">
        <f t="shared" si="0"/>
        <v>3039.5749999999998</v>
      </c>
      <c r="N16" s="128">
        <f t="shared" si="1"/>
        <v>4880.0221770378448</v>
      </c>
      <c r="O16" s="128">
        <f t="shared" si="2"/>
        <v>5182.5835520141918</v>
      </c>
      <c r="P16" s="218">
        <f t="shared" si="3"/>
        <v>9.4228791854803493</v>
      </c>
      <c r="Q16" s="8">
        <v>0.59</v>
      </c>
      <c r="R16" s="8">
        <v>0.76400000000000001</v>
      </c>
      <c r="S16" s="125">
        <f>'Population cible'!C4</f>
        <v>1049902</v>
      </c>
      <c r="T16" s="128">
        <f t="shared" si="4"/>
        <v>3210310853.4918141</v>
      </c>
      <c r="U16" s="218">
        <f t="shared" si="5"/>
        <v>5836928.8245305708</v>
      </c>
      <c r="V16" s="1"/>
    </row>
    <row r="17" spans="1:28" hidden="1">
      <c r="C17" s="1" t="s">
        <v>1956</v>
      </c>
      <c r="D17" s="1" t="s">
        <v>686</v>
      </c>
      <c r="E17" s="138" t="str">
        <f>VLOOKUP(F17, 'FULL REFERENCE'!F:G, 2, FALSE)</f>
        <v>Community-based HIV services</v>
      </c>
      <c r="F17" s="1" t="str">
        <f>VLOOKUP(D17, 'FULL REFERENCE'!A:B, 2, FALSE)</f>
        <v>Community-based HIV testing and counseling (for example, mobile units and venue-based testing), with appropriate referral or linkage to care and immediate initiation of lifelong ART</v>
      </c>
      <c r="G17" s="1" t="s">
        <v>878</v>
      </c>
      <c r="H17" s="1"/>
      <c r="I17" s="1" t="s">
        <v>846</v>
      </c>
      <c r="J17" s="1"/>
      <c r="K17" s="1">
        <v>18.281984246694059</v>
      </c>
      <c r="L17" s="1">
        <v>10055.091335681733</v>
      </c>
      <c r="M17" s="1">
        <f>M18</f>
        <v>2719.5103251289079</v>
      </c>
      <c r="N17" s="128">
        <f t="shared" si="1"/>
        <v>4366.1599721383645</v>
      </c>
      <c r="O17" s="128">
        <f t="shared" si="2"/>
        <v>4636.8618904109435</v>
      </c>
      <c r="P17" s="218">
        <f t="shared" si="3"/>
        <v>8.4306579825653518</v>
      </c>
      <c r="Q17" s="7">
        <v>0.2</v>
      </c>
      <c r="R17" s="163">
        <v>0.8</v>
      </c>
      <c r="S17" s="125">
        <f>'Population cible'!C22</f>
        <v>13240580</v>
      </c>
      <c r="T17" s="128">
        <f t="shared" si="4"/>
        <v>12278948161.787466</v>
      </c>
      <c r="U17" s="218">
        <f t="shared" si="5"/>
        <v>22325360.294159029</v>
      </c>
      <c r="V17" s="1" t="s">
        <v>1126</v>
      </c>
    </row>
    <row r="18" spans="1:28" hidden="1">
      <c r="C18" s="1" t="s">
        <v>1956</v>
      </c>
      <c r="D18" s="1" t="s">
        <v>687</v>
      </c>
      <c r="E18" s="138" t="str">
        <f>VLOOKUP(F18, 'FULL REFERENCE'!F:G, 2, FALSE)</f>
        <v>Household HIV testing and counseling</v>
      </c>
      <c r="F18" s="1" t="str">
        <f>VLOOKUP(D18, 'FULL REFERENCE'!A:B, 2, FALSE)</f>
        <v>Household HIV testing and counseling in high-prevalence settings, with appropriate referral or linkage to care and immediate initiation of lifelong ART</v>
      </c>
      <c r="G18" s="1" t="s">
        <v>879</v>
      </c>
      <c r="H18" s="1"/>
      <c r="I18" s="1" t="s">
        <v>846</v>
      </c>
      <c r="J18" s="1"/>
      <c r="K18" s="1">
        <v>4.9445642275071053</v>
      </c>
      <c r="L18" s="1">
        <v>2719.5103251289079</v>
      </c>
      <c r="M18" s="1">
        <f t="shared" si="0"/>
        <v>2719.5103251289079</v>
      </c>
      <c r="N18" s="128">
        <f t="shared" si="1"/>
        <v>4366.1599721383645</v>
      </c>
      <c r="O18" s="128">
        <f t="shared" si="2"/>
        <v>4636.8618904109435</v>
      </c>
      <c r="P18" s="218">
        <f t="shared" si="3"/>
        <v>8.4306579825653518</v>
      </c>
      <c r="Q18" s="7">
        <v>0.2</v>
      </c>
      <c r="R18" s="163">
        <v>0.8</v>
      </c>
      <c r="T18" s="128">
        <f t="shared" si="4"/>
        <v>0</v>
      </c>
      <c r="U18" s="218">
        <f t="shared" si="5"/>
        <v>0</v>
      </c>
      <c r="V18" s="1" t="s">
        <v>1961</v>
      </c>
    </row>
    <row r="19" spans="1:28" ht="43.2" hidden="1">
      <c r="C19" s="1" t="s">
        <v>916</v>
      </c>
      <c r="D19" s="1" t="s">
        <v>623</v>
      </c>
      <c r="E19" s="138" t="str">
        <f>VLOOKUP(F19, 'FULL REFERENCE'!F:G, 2, FALSE)</f>
        <v>Low-risk labor and delivery</v>
      </c>
      <c r="F19" s="2" t="str">
        <f>VLOOKUP(D19, 'FULL REFERENCE'!A:B, 2, FALSE)</f>
        <v>Management of labor and delivery in low risk women by skilled attendants, including basic neonatal resuscitation following delivery</v>
      </c>
      <c r="G19" s="1" t="s">
        <v>921</v>
      </c>
      <c r="H19" s="1" t="s">
        <v>847</v>
      </c>
      <c r="I19" s="1" t="s">
        <v>846</v>
      </c>
      <c r="J19" s="1" t="s">
        <v>919</v>
      </c>
      <c r="K19" s="1">
        <v>8.2514989228512476</v>
      </c>
      <c r="L19" s="1">
        <v>4538.324407568186</v>
      </c>
      <c r="M19" s="26">
        <v>1194.4577999999999</v>
      </c>
      <c r="N19" s="128">
        <f>M19</f>
        <v>1194.4577999999999</v>
      </c>
      <c r="O19" s="128">
        <f>N19</f>
        <v>1194.4577999999999</v>
      </c>
      <c r="P19" s="218">
        <f t="shared" si="3"/>
        <v>2.1717414545454545</v>
      </c>
      <c r="Q19" s="8">
        <v>0.73599999999999999</v>
      </c>
      <c r="R19" s="163">
        <v>0.8</v>
      </c>
      <c r="S19" s="125">
        <f>'Population cible'!C4</f>
        <v>1049902</v>
      </c>
      <c r="T19" s="128">
        <f t="shared" si="4"/>
        <v>922990833.98780155</v>
      </c>
      <c r="U19" s="218">
        <f t="shared" si="5"/>
        <v>1678165.1527050938</v>
      </c>
      <c r="V19" s="1" t="s">
        <v>922</v>
      </c>
      <c r="W19" s="117">
        <v>45735618705.43</v>
      </c>
      <c r="X19" s="112" t="s">
        <v>1153</v>
      </c>
    </row>
    <row r="20" spans="1:28" hidden="1">
      <c r="C20" s="1" t="s">
        <v>1956</v>
      </c>
      <c r="D20" s="1" t="s">
        <v>688</v>
      </c>
      <c r="E20" s="138" t="str">
        <f>VLOOKUP(F20, 'FULL REFERENCE'!F:G, 2, FALSE)</f>
        <v>Provision of condoms</v>
      </c>
      <c r="F20" s="1" t="str">
        <f>VLOOKUP(D20, 'FULL REFERENCE'!A:B, 2, FALSE)</f>
        <v>Provision of condoms to key populations, including sex workers, men who have sex with men, people who inject drugs, transgender populations, and prisoners</v>
      </c>
      <c r="G20" s="1" t="s">
        <v>880</v>
      </c>
      <c r="H20" s="1"/>
      <c r="I20" s="1" t="s">
        <v>846</v>
      </c>
      <c r="J20" s="1"/>
      <c r="K20" s="1">
        <v>1.7038647869188983</v>
      </c>
      <c r="L20" s="1">
        <v>937.12563280539405</v>
      </c>
      <c r="M20" s="1">
        <f>L20</f>
        <v>937.12563280539405</v>
      </c>
      <c r="N20" s="128">
        <f>(M20*0.7*Salary_CIV_cost_uplift)+(M20*0.3)</f>
        <v>1504.5504291754428</v>
      </c>
      <c r="O20" s="128">
        <f t="shared" ref="O20:O24" si="6">N20*1.062</f>
        <v>1597.8325557843202</v>
      </c>
      <c r="P20" s="218">
        <f t="shared" si="3"/>
        <v>2.9051501014260368</v>
      </c>
      <c r="Q20" s="7">
        <v>0.78</v>
      </c>
      <c r="R20" s="163">
        <v>0.8</v>
      </c>
      <c r="S20" s="125">
        <f>'Population cible'!C86+'Population cible'!C93+'Population cible'!C101+'Population cible'!C107</f>
        <v>58385</v>
      </c>
      <c r="T20" s="128">
        <f t="shared" si="4"/>
        <v>72765773.940184683</v>
      </c>
      <c r="U20" s="218">
        <f t="shared" si="5"/>
        <v>132301.40716397215</v>
      </c>
      <c r="V20" s="7" t="s">
        <v>881</v>
      </c>
      <c r="W20" s="118">
        <v>2575758186.8499999</v>
      </c>
      <c r="X20" s="112" t="s">
        <v>1138</v>
      </c>
    </row>
    <row r="21" spans="1:28" hidden="1">
      <c r="C21" s="1" t="s">
        <v>1956</v>
      </c>
      <c r="D21" s="1" t="s">
        <v>689</v>
      </c>
      <c r="E21" s="138" t="str">
        <f>VLOOKUP(F21, 'FULL REFERENCE'!F:G, 2, FALSE)</f>
        <v>Harm reduction services for PWID</v>
      </c>
      <c r="F21" s="1" t="str">
        <f>VLOOKUP(D21, 'FULL REFERENCE'!A:B, 2, FALSE)</f>
        <v>Provision of harm reduction services such as safe injection equipment and opioid substitution therapy to people who inject drugs</v>
      </c>
      <c r="G21" s="1" t="s">
        <v>882</v>
      </c>
      <c r="H21" s="1"/>
      <c r="I21" s="1" t="s">
        <v>846</v>
      </c>
      <c r="J21" s="1"/>
      <c r="K21" s="1">
        <v>5.3019999999999996</v>
      </c>
      <c r="L21" s="1">
        <v>2916.1</v>
      </c>
      <c r="M21" s="1">
        <f>L21</f>
        <v>2916.1</v>
      </c>
      <c r="N21" s="128">
        <f>(M21*0.7*Salary_CIV_cost_uplift)+(M21*0.3)</f>
        <v>4681.783693595341</v>
      </c>
      <c r="O21" s="128">
        <f t="shared" si="6"/>
        <v>4972.054282598252</v>
      </c>
      <c r="P21" s="218">
        <f t="shared" si="3"/>
        <v>9.0400986956331852</v>
      </c>
      <c r="Q21" s="7">
        <v>0.76</v>
      </c>
      <c r="R21" s="163">
        <v>0.8</v>
      </c>
      <c r="S21" s="125">
        <f>'Population cible'!C101</f>
        <v>120</v>
      </c>
      <c r="T21" s="128">
        <f t="shared" si="4"/>
        <v>453451.35057296063</v>
      </c>
      <c r="U21" s="218">
        <f t="shared" si="5"/>
        <v>824.45700104174659</v>
      </c>
      <c r="V21" s="1" t="s">
        <v>883</v>
      </c>
    </row>
    <row r="22" spans="1:28" ht="34.049999999999997" hidden="1" customHeight="1">
      <c r="C22" s="1" t="s">
        <v>915</v>
      </c>
      <c r="D22" s="1" t="s">
        <v>690</v>
      </c>
      <c r="E22" s="138" t="str">
        <f>VLOOKUP(F22, 'FULL REFERENCE'!F:G, 2, FALSE)</f>
        <v>TB contact tracing</v>
      </c>
      <c r="F22" s="1" t="str">
        <f>VLOOKUP(D22, 'FULL REFERENCE'!A:B, 2, FALSE)</f>
        <v>Routine contact tracing to identify individuals exposed to TB and link them to care</v>
      </c>
      <c r="G22" s="1" t="s">
        <v>884</v>
      </c>
      <c r="H22" s="1" t="s">
        <v>847</v>
      </c>
      <c r="I22" s="1" t="s">
        <v>846</v>
      </c>
      <c r="J22" s="1" t="s">
        <v>846</v>
      </c>
      <c r="K22" s="1">
        <v>5.4545454500000004</v>
      </c>
      <c r="L22" s="1">
        <v>3000</v>
      </c>
      <c r="M22" s="1">
        <f>L22</f>
        <v>3000</v>
      </c>
      <c r="N22" s="128">
        <f>(M22*0.7*Salary_CIV_cost_uplift)+(M22*0.3)</f>
        <v>4816.4847161572043</v>
      </c>
      <c r="O22" s="128">
        <f t="shared" si="6"/>
        <v>5115.1067685589514</v>
      </c>
      <c r="P22" s="218">
        <f t="shared" si="3"/>
        <v>9.3001941246526396</v>
      </c>
      <c r="Q22" s="7">
        <v>0.28999999999999998</v>
      </c>
      <c r="R22" s="163">
        <v>0.8</v>
      </c>
      <c r="S22" s="128">
        <v>17298</v>
      </c>
      <c r="T22" s="128">
        <f t="shared" si="4"/>
        <v>25659523.895934496</v>
      </c>
      <c r="U22" s="218">
        <f t="shared" si="5"/>
        <v>46653.679810789996</v>
      </c>
      <c r="V22" s="2" t="s">
        <v>1449</v>
      </c>
    </row>
    <row r="23" spans="1:28" hidden="1">
      <c r="C23" s="1" t="s">
        <v>1300</v>
      </c>
      <c r="D23" s="1" t="s">
        <v>717</v>
      </c>
      <c r="E23" s="138" t="str">
        <f>VLOOKUP(F23, 'FULL REFERENCE'!F:G, 2, FALSE)</f>
        <v>Test for G6PD deficiency</v>
      </c>
      <c r="F23" s="1" t="str">
        <f>VLOOKUP(D23, 'FULL REFERENCE'!A:B, 2, FALSE)</f>
        <v>For malaria due to P. vivax, test for G6PD deficiency; if normal, add chloroquine or chloroquine plus 14-day course of primaquine</v>
      </c>
      <c r="G23" s="1" t="s">
        <v>851</v>
      </c>
      <c r="H23" s="1" t="s">
        <v>845</v>
      </c>
      <c r="I23" s="1" t="s">
        <v>846</v>
      </c>
      <c r="J23" s="1"/>
      <c r="K23" s="1">
        <v>0.63500000000000001</v>
      </c>
      <c r="L23" s="1">
        <v>349.25</v>
      </c>
      <c r="M23" s="1">
        <f>L23</f>
        <v>349.25</v>
      </c>
      <c r="N23" s="128">
        <f>(M23*0.7*Salary_CIV_cost_uplift)+(M23*0.3)</f>
        <v>560.7190957059679</v>
      </c>
      <c r="O23" s="128">
        <f t="shared" si="6"/>
        <v>595.48367963973794</v>
      </c>
      <c r="P23" s="218">
        <f t="shared" si="3"/>
        <v>1.0826975993449781</v>
      </c>
      <c r="Q23" s="7">
        <v>0.2</v>
      </c>
      <c r="R23" s="163">
        <v>0.8</v>
      </c>
      <c r="T23" s="128">
        <f t="shared" si="4"/>
        <v>0</v>
      </c>
      <c r="U23" s="218">
        <f t="shared" si="5"/>
        <v>0</v>
      </c>
      <c r="V23" s="1" t="s">
        <v>852</v>
      </c>
    </row>
    <row r="24" spans="1:28" hidden="1">
      <c r="C24" s="1" t="s">
        <v>1300</v>
      </c>
      <c r="D24" s="1" t="s">
        <v>718</v>
      </c>
      <c r="E24" s="138" t="str">
        <f>VLOOKUP(F24, 'FULL REFERENCE'!F:G, 2, FALSE)</f>
        <v xml:space="preserve">Environmental management for malaria </v>
      </c>
      <c r="F24" s="1" t="str">
        <f>VLOOKUP(D24, 'FULL REFERENCE'!A:B, 2, FALSE)</f>
        <v>Conduct larviciding and water-management programs in high malaria transmission areas where mosquito breeding sites can be identified and regularly targeted</v>
      </c>
      <c r="G24" s="1" t="s">
        <v>853</v>
      </c>
      <c r="H24" s="1" t="s">
        <v>845</v>
      </c>
      <c r="I24" s="1" t="s">
        <v>846</v>
      </c>
      <c r="J24" s="1"/>
      <c r="K24" s="1">
        <v>2.3558327287917193</v>
      </c>
      <c r="L24" s="1">
        <v>1295.7080008354455</v>
      </c>
      <c r="M24" s="1">
        <f>L24</f>
        <v>1295.7080008354455</v>
      </c>
      <c r="N24" s="128">
        <f>(M24*0.7*Salary_CIV_cost_uplift)+(M24*0.3)</f>
        <v>2080.2525942088432</v>
      </c>
      <c r="O24" s="128">
        <f t="shared" si="6"/>
        <v>2209.2282550497916</v>
      </c>
      <c r="P24" s="218">
        <f t="shared" si="3"/>
        <v>4.0167786455450756</v>
      </c>
      <c r="Q24" s="7">
        <v>0.2</v>
      </c>
      <c r="R24" s="163">
        <v>0.8</v>
      </c>
      <c r="T24" s="128">
        <f t="shared" si="4"/>
        <v>0</v>
      </c>
      <c r="U24" s="218">
        <f t="shared" si="5"/>
        <v>0</v>
      </c>
      <c r="V24" s="1"/>
    </row>
    <row r="25" spans="1:28" hidden="1">
      <c r="C25" s="1" t="s">
        <v>1300</v>
      </c>
      <c r="D25" s="1" t="s">
        <v>719</v>
      </c>
      <c r="E25" s="138" t="str">
        <f>VLOOKUP(F25, 'FULL REFERENCE'!F:G, 2, FALSE)</f>
        <v>Diagnosis of and treatment of malaria</v>
      </c>
      <c r="F25" s="1" t="str">
        <f>VLOOKUP(D25, 'FULL REFERENCE'!A:B, 2, FALSE)</f>
        <v>In all malaria-endemic countries, diagnosis with rapid test or microscopy (including speciation) followed by treatment with ACTs (or current first-line combination)</v>
      </c>
      <c r="G25" s="1" t="s">
        <v>854</v>
      </c>
      <c r="H25" s="1" t="s">
        <v>848</v>
      </c>
      <c r="I25" s="1" t="s">
        <v>846</v>
      </c>
      <c r="J25" s="1" t="s">
        <v>855</v>
      </c>
      <c r="K25" s="1">
        <v>3.0509432572250312</v>
      </c>
      <c r="L25" s="1">
        <v>1678.0187914737671</v>
      </c>
      <c r="M25" s="26">
        <v>7000</v>
      </c>
      <c r="N25" s="128">
        <f>M25</f>
        <v>7000</v>
      </c>
      <c r="O25" s="128">
        <f t="shared" ref="O25:O26" si="7">N25</f>
        <v>7000</v>
      </c>
      <c r="P25" s="218">
        <f t="shared" si="3"/>
        <v>12.727272727272727</v>
      </c>
      <c r="Q25" s="7">
        <v>0.8</v>
      </c>
      <c r="R25" s="7">
        <v>1</v>
      </c>
      <c r="S25" s="125">
        <f>'Population cible'!C10</f>
        <v>2701695.27</v>
      </c>
      <c r="T25" s="128">
        <f t="shared" si="4"/>
        <v>15129493512</v>
      </c>
      <c r="U25" s="218">
        <f t="shared" si="5"/>
        <v>27508170.021818183</v>
      </c>
      <c r="V25" s="1"/>
      <c r="W25" s="119">
        <v>91231325362.580002</v>
      </c>
      <c r="X25" s="112" t="s">
        <v>1140</v>
      </c>
      <c r="Y25" t="s">
        <v>1997</v>
      </c>
    </row>
    <row r="26" spans="1:28" hidden="1">
      <c r="A26" s="1" t="s">
        <v>2290</v>
      </c>
      <c r="C26" s="1" t="s">
        <v>1300</v>
      </c>
      <c r="D26" s="1" t="s">
        <v>720</v>
      </c>
      <c r="E26" s="157" t="str">
        <f>VLOOKUP(F26, 'FULL REFERENCE'!F:G, 2, FALSE)</f>
        <v>Presumptive treatment of febrile illness</v>
      </c>
      <c r="F26" s="1" t="str">
        <f>VLOOKUP(D26, 'FULL REFERENCE'!A:B, 2, FALSE)</f>
        <v>In high malaria transmission settings where rapid tests and microscopy are unavailable, presumptive treatment of febrile illness with ACTs (non-severe cases) or ACTs plus antibiotics (severe cases)</v>
      </c>
      <c r="G26" s="1" t="s">
        <v>857</v>
      </c>
      <c r="H26" s="1" t="s">
        <v>848</v>
      </c>
      <c r="I26" s="1" t="s">
        <v>846</v>
      </c>
      <c r="J26" s="1" t="s">
        <v>855</v>
      </c>
      <c r="K26" s="1">
        <v>2.4124539576553481</v>
      </c>
      <c r="L26" s="1">
        <v>1326.8496767104414</v>
      </c>
      <c r="M26" s="26">
        <v>10000</v>
      </c>
      <c r="N26" s="128">
        <f>M26</f>
        <v>10000</v>
      </c>
      <c r="O26" s="128">
        <f t="shared" si="7"/>
        <v>10000</v>
      </c>
      <c r="P26" s="218">
        <f t="shared" si="3"/>
        <v>18.181818181818183</v>
      </c>
      <c r="Q26" s="7">
        <v>0.2</v>
      </c>
      <c r="R26" s="163">
        <v>0.8</v>
      </c>
      <c r="T26" s="128">
        <f t="shared" si="4"/>
        <v>0</v>
      </c>
      <c r="U26" s="218">
        <f t="shared" si="5"/>
        <v>0</v>
      </c>
      <c r="V26" s="1" t="s">
        <v>856</v>
      </c>
      <c r="Y26" t="s">
        <v>1996</v>
      </c>
    </row>
    <row r="27" spans="1:28" hidden="1">
      <c r="A27" s="1" t="s">
        <v>2290</v>
      </c>
      <c r="C27" s="1" t="s">
        <v>1300</v>
      </c>
      <c r="D27" s="1" t="s">
        <v>721</v>
      </c>
      <c r="E27" s="138" t="str">
        <f>VLOOKUP(F27, 'FULL REFERENCE'!F:G, 2, FALSE)</f>
        <v>IPT for malaria in infancy</v>
      </c>
      <c r="F27" s="1" t="str">
        <f>VLOOKUP(D27, 'FULL REFERENCE'!A:B, 2, FALSE)</f>
        <v>In high malaria transmission settings, intermittent preventive treatment in infancy (except where seasonal malaria chemoprophylaxis is being provided)</v>
      </c>
      <c r="G27" s="1" t="s">
        <v>858</v>
      </c>
      <c r="H27" s="1" t="s">
        <v>845</v>
      </c>
      <c r="I27" s="1" t="s">
        <v>846</v>
      </c>
      <c r="J27" s="1"/>
      <c r="K27" s="1">
        <v>0.48827628906858322</v>
      </c>
      <c r="L27" s="1">
        <v>268.55195898772075</v>
      </c>
      <c r="M27" s="27">
        <f t="shared" ref="M27:M44" si="8">L27</f>
        <v>268.55195898772075</v>
      </c>
      <c r="N27" s="128">
        <f t="shared" ref="N27:N44" si="9">(M27*0.7*Salary_CIV_cost_uplift)+(M27*0.3)</f>
        <v>431.15880198614445</v>
      </c>
      <c r="O27" s="128">
        <f t="shared" ref="O27:O44" si="10">N27*1.062</f>
        <v>457.89064770928542</v>
      </c>
      <c r="P27" s="218">
        <f t="shared" si="3"/>
        <v>0.83252845038051893</v>
      </c>
      <c r="Q27" s="7">
        <v>0.2</v>
      </c>
      <c r="R27" s="163">
        <v>0.8</v>
      </c>
      <c r="T27" s="128">
        <f t="shared" si="4"/>
        <v>0</v>
      </c>
      <c r="U27" s="218">
        <f t="shared" si="5"/>
        <v>0</v>
      </c>
      <c r="V27" s="1"/>
    </row>
    <row r="28" spans="1:28" hidden="1">
      <c r="A28" s="1" t="s">
        <v>2290</v>
      </c>
      <c r="C28" s="1" t="s">
        <v>1300</v>
      </c>
      <c r="D28" s="1" t="s">
        <v>722</v>
      </c>
      <c r="E28" s="138" t="str">
        <f>VLOOKUP(F28, 'FULL REFERENCE'!F:G, 2, FALSE)</f>
        <v>Primaquine first-line malaria treatment</v>
      </c>
      <c r="F28" s="1" t="str">
        <f>VLOOKUP(D28, 'FULL REFERENCE'!A:B, 2, FALSE)</f>
        <v>In low malaria transmision settings, addition of single low-dose primaquine to first-line treatment</v>
      </c>
      <c r="G28" s="1" t="s">
        <v>859</v>
      </c>
      <c r="H28" s="1" t="s">
        <v>845</v>
      </c>
      <c r="I28" s="1" t="s">
        <v>846</v>
      </c>
      <c r="J28" s="1"/>
      <c r="K28" s="1">
        <v>2.0230000000000001E-2</v>
      </c>
      <c r="L28" s="1">
        <v>11.1265</v>
      </c>
      <c r="M28" s="1">
        <f t="shared" si="8"/>
        <v>11.1265</v>
      </c>
      <c r="N28" s="128">
        <f t="shared" si="9"/>
        <v>17.863539064774379</v>
      </c>
      <c r="O28" s="128">
        <f t="shared" si="10"/>
        <v>18.971078486790393</v>
      </c>
      <c r="P28" s="218">
        <f t="shared" si="3"/>
        <v>3.4492869975982533E-2</v>
      </c>
      <c r="Q28" s="7">
        <v>0.2</v>
      </c>
      <c r="R28" s="163">
        <v>0.8</v>
      </c>
      <c r="T28" s="128">
        <f t="shared" si="4"/>
        <v>0</v>
      </c>
      <c r="U28" s="218">
        <f t="shared" si="5"/>
        <v>0</v>
      </c>
      <c r="V28" s="1"/>
    </row>
    <row r="29" spans="1:28" hidden="1">
      <c r="A29" s="1" t="s">
        <v>2290</v>
      </c>
      <c r="C29" s="1" t="s">
        <v>1300</v>
      </c>
      <c r="D29" s="1" t="s">
        <v>723</v>
      </c>
      <c r="E29" s="138" t="str">
        <f>VLOOKUP(F29, 'FULL REFERENCE'!F:G, 2, FALSE)</f>
        <v>Case detection strategies for malaria</v>
      </c>
      <c r="F29" s="1" t="str">
        <f>VLOOKUP(D29, 'FULL REFERENCE'!A:B, 2, FALSE)</f>
        <v>In low malaria transmission settings, case investigation, reactive case detection, proactive case detection (including mass screening and treatment)</v>
      </c>
      <c r="G29" s="1" t="s">
        <v>860</v>
      </c>
      <c r="H29" s="1" t="s">
        <v>845</v>
      </c>
      <c r="I29" s="1" t="s">
        <v>846</v>
      </c>
      <c r="J29" s="1"/>
      <c r="K29" s="1">
        <v>1.7790273640275014</v>
      </c>
      <c r="L29" s="1">
        <v>978.46505021512576</v>
      </c>
      <c r="M29" s="1">
        <f t="shared" si="8"/>
        <v>978.46505021512576</v>
      </c>
      <c r="N29" s="128">
        <f t="shared" si="9"/>
        <v>1570.9206532183814</v>
      </c>
      <c r="O29" s="128">
        <f t="shared" si="10"/>
        <v>1668.3177337179211</v>
      </c>
      <c r="P29" s="218">
        <f t="shared" si="3"/>
        <v>3.03330497039622</v>
      </c>
      <c r="Q29" s="7">
        <v>0.2</v>
      </c>
      <c r="R29" s="163">
        <v>0.8</v>
      </c>
      <c r="T29" s="128">
        <f t="shared" si="4"/>
        <v>0</v>
      </c>
      <c r="U29" s="218">
        <f t="shared" si="5"/>
        <v>0</v>
      </c>
      <c r="V29" s="1"/>
    </row>
    <row r="30" spans="1:28" ht="28.8" hidden="1">
      <c r="C30" s="1" t="s">
        <v>916</v>
      </c>
      <c r="D30" s="1" t="s">
        <v>641</v>
      </c>
      <c r="E30" s="138" t="str">
        <f>VLOOKUP(F30, 'FULL REFERENCE'!F:G, 2, FALSE)</f>
        <v>Promotion of breastfeeding</v>
      </c>
      <c r="F30" s="2" t="str">
        <f>VLOOKUP(D30, 'FULL REFERENCE'!A:B, 2, FALSE)</f>
        <v>Promotion of breastfeeding or complementary feeding by lay health workers</v>
      </c>
      <c r="G30" s="1" t="s">
        <v>942</v>
      </c>
      <c r="H30" s="1" t="s">
        <v>918</v>
      </c>
      <c r="I30" s="1" t="s">
        <v>846</v>
      </c>
      <c r="J30" s="1"/>
      <c r="K30" s="1">
        <v>0.118814539054747</v>
      </c>
      <c r="L30" s="1">
        <v>65.347996480110851</v>
      </c>
      <c r="M30" s="1">
        <f t="shared" si="8"/>
        <v>65.347996480110851</v>
      </c>
      <c r="N30" s="128">
        <f t="shared" si="9"/>
        <v>104.91587542598289</v>
      </c>
      <c r="O30" s="128">
        <f t="shared" si="10"/>
        <v>111.42065970239383</v>
      </c>
      <c r="P30" s="218">
        <f t="shared" si="3"/>
        <v>0.20258301764071607</v>
      </c>
      <c r="Q30" s="7">
        <v>0.5</v>
      </c>
      <c r="R30" s="163">
        <v>0.8</v>
      </c>
      <c r="S30" s="125">
        <f>'Population cible'!C4</f>
        <v>1049902</v>
      </c>
      <c r="T30" s="128">
        <f t="shared" si="4"/>
        <v>58490386.731431343</v>
      </c>
      <c r="U30" s="218">
        <f t="shared" si="5"/>
        <v>106346.15769351153</v>
      </c>
      <c r="V30" s="1" t="s">
        <v>1129</v>
      </c>
    </row>
    <row r="31" spans="1:28" hidden="1">
      <c r="C31" s="1" t="s">
        <v>1300</v>
      </c>
      <c r="D31" s="1" t="s">
        <v>725</v>
      </c>
      <c r="E31" s="138" t="str">
        <f>VLOOKUP(F31, 'FULL REFERENCE'!F:G, 2, FALSE)</f>
        <v>Mass drug administration (malaria)</v>
      </c>
      <c r="F31" s="1" t="str">
        <f>VLOOKUP(D31, 'FULL REFERENCE'!A:B, 2, FALSE)</f>
        <v>Mass drug administration in low malaria transmission settings (including high-risk groups in geographic or demographic clusters)</v>
      </c>
      <c r="G31" s="1" t="s">
        <v>861</v>
      </c>
      <c r="H31" s="1" t="s">
        <v>845</v>
      </c>
      <c r="I31" s="1" t="s">
        <v>846</v>
      </c>
      <c r="J31" s="1"/>
      <c r="K31" s="1">
        <v>0.80994758485579355</v>
      </c>
      <c r="L31" s="1">
        <v>445.47117167068643</v>
      </c>
      <c r="M31" s="1">
        <f t="shared" si="8"/>
        <v>445.47117167068643</v>
      </c>
      <c r="N31" s="128">
        <f t="shared" si="9"/>
        <v>715.2016966135011</v>
      </c>
      <c r="O31" s="128">
        <f t="shared" si="10"/>
        <v>759.54420180353816</v>
      </c>
      <c r="P31" s="218">
        <f t="shared" si="3"/>
        <v>1.3809894578246149</v>
      </c>
      <c r="Q31" s="7">
        <v>0.2</v>
      </c>
      <c r="R31" s="7">
        <v>0</v>
      </c>
      <c r="T31" s="128">
        <f t="shared" si="4"/>
        <v>0</v>
      </c>
      <c r="U31" s="218">
        <f t="shared" si="5"/>
        <v>0</v>
      </c>
      <c r="V31" s="1"/>
    </row>
    <row r="32" spans="1:28" hidden="1">
      <c r="C32" s="1" t="s">
        <v>1300</v>
      </c>
      <c r="D32" s="1" t="s">
        <v>727</v>
      </c>
      <c r="E32" s="157" t="str">
        <f>VLOOKUP(F32, 'FULL REFERENCE'!F:G, 2, FALSE)</f>
        <v>Early detection and treatment of NTDs</v>
      </c>
      <c r="F32" s="1" t="str">
        <f>VLOOKUP(D32, 'FULL REFERENCE'!A:B, 2, FALSE)</f>
        <v>Early detection and treatment of Chagas disease, human African trypanosomiasis, leprosy, and leishmaniases</v>
      </c>
      <c r="G32" s="1" t="s">
        <v>862</v>
      </c>
      <c r="H32" s="1"/>
      <c r="I32" s="1" t="s">
        <v>846</v>
      </c>
      <c r="J32" s="1"/>
      <c r="K32" s="1">
        <v>171.59430847972808</v>
      </c>
      <c r="L32" s="1">
        <v>94376.869663850448</v>
      </c>
      <c r="M32" s="1">
        <f t="shared" si="8"/>
        <v>94376.869663850448</v>
      </c>
      <c r="N32" s="128">
        <f t="shared" si="9"/>
        <v>151521.58343156538</v>
      </c>
      <c r="O32" s="128">
        <f t="shared" si="10"/>
        <v>160915.92160432244</v>
      </c>
      <c r="P32" s="218">
        <f t="shared" si="3"/>
        <v>292.57440291694991</v>
      </c>
      <c r="Q32" s="7">
        <v>0.2</v>
      </c>
      <c r="R32" s="7">
        <v>0.8</v>
      </c>
      <c r="S32" s="125">
        <v>867</v>
      </c>
      <c r="T32" s="128">
        <f t="shared" si="4"/>
        <v>27902820.806189511</v>
      </c>
      <c r="U32" s="218">
        <f t="shared" si="5"/>
        <v>50732.401465799114</v>
      </c>
      <c r="V32" s="1"/>
      <c r="Y32" t="s">
        <v>2000</v>
      </c>
      <c r="Z32" t="s">
        <v>1999</v>
      </c>
      <c r="AA32">
        <f>24.29/16.53</f>
        <v>1.4694494857834239</v>
      </c>
      <c r="AB32">
        <f>590*AA32</f>
        <v>866.97519661222009</v>
      </c>
    </row>
    <row r="33" spans="1:25" hidden="1">
      <c r="C33" s="1" t="s">
        <v>1300</v>
      </c>
      <c r="D33" s="1" t="s">
        <v>728</v>
      </c>
      <c r="E33" s="157" t="str">
        <f>VLOOKUP(F33, 'FULL REFERENCE'!F:G, 2, FALSE)</f>
        <v>Treatment for yaws</v>
      </c>
      <c r="F33" s="1" t="str">
        <f>VLOOKUP(D33, 'FULL REFERENCE'!A:B, 2, FALSE)</f>
        <v>Total Community Treatment for yaws</v>
      </c>
      <c r="G33" s="1" t="s">
        <v>863</v>
      </c>
      <c r="H33" s="1"/>
      <c r="I33" s="1" t="s">
        <v>846</v>
      </c>
      <c r="J33" s="1"/>
      <c r="K33" s="1">
        <v>2.8255201523976186</v>
      </c>
      <c r="L33" s="1">
        <v>1554.0360838186903</v>
      </c>
      <c r="M33" s="1">
        <f t="shared" si="8"/>
        <v>1554.0360838186903</v>
      </c>
      <c r="N33" s="128">
        <f t="shared" si="9"/>
        <v>2494.9970153565055</v>
      </c>
      <c r="O33" s="128">
        <f t="shared" si="10"/>
        <v>2649.6868303086089</v>
      </c>
      <c r="P33" s="218">
        <f t="shared" si="3"/>
        <v>4.8176124187429252</v>
      </c>
      <c r="Q33" s="130">
        <v>0.5</v>
      </c>
      <c r="R33" s="163">
        <v>0.8</v>
      </c>
      <c r="S33" s="125">
        <v>2864</v>
      </c>
      <c r="T33" s="128">
        <f t="shared" si="4"/>
        <v>3794351.541001928</v>
      </c>
      <c r="U33" s="218">
        <f t="shared" si="5"/>
        <v>6898.8209836398692</v>
      </c>
      <c r="V33" s="1"/>
      <c r="Y33" t="s">
        <v>1998</v>
      </c>
    </row>
    <row r="34" spans="1:25" ht="57.6" hidden="1">
      <c r="A34" s="1" t="s">
        <v>2291</v>
      </c>
      <c r="C34" s="1" t="s">
        <v>1332</v>
      </c>
      <c r="D34" s="1" t="s">
        <v>736</v>
      </c>
      <c r="E34" s="138" t="str">
        <f>VLOOKUP(F34, 'FULL REFERENCE'!F:G, 2, FALSE)</f>
        <v>Exercise-based pulmonary rehabilitation</v>
      </c>
      <c r="F34" s="2" t="str">
        <f>VLOOKUP(D34, 'FULL REFERENCE'!A:B, 2, FALSE)</f>
        <v>Exercise-based pulmonary rehabilitation for patients with obstructive lung disease</v>
      </c>
      <c r="G34" s="2" t="s">
        <v>1006</v>
      </c>
      <c r="H34" s="16" t="s">
        <v>848</v>
      </c>
      <c r="I34" s="17" t="s">
        <v>1007</v>
      </c>
      <c r="J34" s="2"/>
      <c r="K34" s="2">
        <v>5.2529935346168033</v>
      </c>
      <c r="L34" s="2">
        <v>2889.1464440392419</v>
      </c>
      <c r="M34" s="1">
        <f t="shared" si="8"/>
        <v>2889.1464440392419</v>
      </c>
      <c r="N34" s="128">
        <f t="shared" si="9"/>
        <v>4638.5098968183147</v>
      </c>
      <c r="O34" s="128">
        <f t="shared" si="10"/>
        <v>4926.0975104210502</v>
      </c>
      <c r="P34" s="218">
        <f t="shared" si="3"/>
        <v>8.9565409280382724</v>
      </c>
      <c r="Q34" s="141">
        <v>0.2</v>
      </c>
      <c r="R34" s="220">
        <f>Q34+increase_in_actual_to_target_coverage_for_NCDs</f>
        <v>0.30000000000000004</v>
      </c>
      <c r="S34" s="19" t="e">
        <f>'IHME prevalence'!#REF!</f>
        <v>#REF!</v>
      </c>
      <c r="T34" s="128" t="e">
        <f t="shared" si="4"/>
        <v>#REF!</v>
      </c>
      <c r="U34" s="218" t="e">
        <f t="shared" si="5"/>
        <v>#REF!</v>
      </c>
      <c r="V34" s="1"/>
      <c r="W34" s="115" t="s">
        <v>1962</v>
      </c>
    </row>
    <row r="35" spans="1:25" ht="28.8" hidden="1">
      <c r="C35" s="1" t="s">
        <v>1332</v>
      </c>
      <c r="D35" s="1" t="s">
        <v>761</v>
      </c>
      <c r="E35" s="157" t="str">
        <f>VLOOKUP(F35, 'FULL REFERENCE'!F:G, 2, FALSE)</f>
        <v>Self-managed treatment of migraine</v>
      </c>
      <c r="F35" s="2" t="str">
        <f>VLOOKUP(D35, 'FULL REFERENCE'!A:B, 2, FALSE)</f>
        <v>Self-managed treatment of migraine</v>
      </c>
      <c r="G35" s="2" t="s">
        <v>1055</v>
      </c>
      <c r="H35" s="2"/>
      <c r="I35" s="2" t="s">
        <v>846</v>
      </c>
      <c r="J35" s="2"/>
      <c r="K35" s="2">
        <v>0.14000000000000001</v>
      </c>
      <c r="L35" s="2">
        <v>77.000000000000014</v>
      </c>
      <c r="M35" s="1">
        <f t="shared" si="8"/>
        <v>77.000000000000014</v>
      </c>
      <c r="N35" s="128">
        <f t="shared" si="9"/>
        <v>123.6231077147016</v>
      </c>
      <c r="O35" s="128">
        <f t="shared" si="10"/>
        <v>131.28774039301311</v>
      </c>
      <c r="P35" s="218">
        <f t="shared" si="3"/>
        <v>0.2387049825327511</v>
      </c>
      <c r="Q35" s="141">
        <v>0.2</v>
      </c>
      <c r="R35" s="220">
        <f>Q35+increase_in_actual_to_target_coverage_for_NCDs</f>
        <v>0.30000000000000004</v>
      </c>
      <c r="T35" s="128">
        <f t="shared" si="4"/>
        <v>0</v>
      </c>
      <c r="U35" s="218">
        <f t="shared" si="5"/>
        <v>0</v>
      </c>
      <c r="V35" s="1"/>
      <c r="Y35" t="s">
        <v>2001</v>
      </c>
    </row>
    <row r="36" spans="1:25" ht="28.8" hidden="1">
      <c r="C36" s="1" t="s">
        <v>916</v>
      </c>
      <c r="D36" s="1" t="s">
        <v>645</v>
      </c>
      <c r="E36" s="138" t="str">
        <f>VLOOKUP(F36, 'FULL REFERENCE'!F:G, 2, FALSE)</f>
        <v>Tetanus toxoid immunization</v>
      </c>
      <c r="F36" s="2" t="str">
        <f>VLOOKUP(D36, 'FULL REFERENCE'!A:B, 2, FALSE)</f>
        <v>Tetanus toxoid immunization among schoolchildren and among women attending antenatal care</v>
      </c>
      <c r="G36" s="1" t="s">
        <v>943</v>
      </c>
      <c r="H36" s="1" t="s">
        <v>918</v>
      </c>
      <c r="I36" s="1" t="s">
        <v>846</v>
      </c>
      <c r="J36" s="1"/>
      <c r="K36" s="1">
        <v>0.7</v>
      </c>
      <c r="L36" s="1">
        <v>385</v>
      </c>
      <c r="M36" s="1">
        <f t="shared" si="8"/>
        <v>385</v>
      </c>
      <c r="N36" s="128">
        <f t="shared" si="9"/>
        <v>618.11553857350793</v>
      </c>
      <c r="O36" s="128">
        <f t="shared" si="10"/>
        <v>656.43870196506543</v>
      </c>
      <c r="P36" s="218">
        <f t="shared" si="3"/>
        <v>1.1935249126637553</v>
      </c>
      <c r="Q36" s="7">
        <v>0.53</v>
      </c>
      <c r="R36" s="163">
        <v>0.8</v>
      </c>
      <c r="S36" s="125">
        <f>'Population cible'!C4</f>
        <v>1049902</v>
      </c>
      <c r="T36" s="128">
        <f t="shared" si="4"/>
        <v>365274042.21737891</v>
      </c>
      <c r="U36" s="218">
        <f t="shared" si="5"/>
        <v>664134.62221341615</v>
      </c>
      <c r="V36" s="1" t="s">
        <v>936</v>
      </c>
    </row>
    <row r="37" spans="1:25" ht="72" hidden="1">
      <c r="C37" s="1" t="s">
        <v>1332</v>
      </c>
      <c r="D37" s="1" t="s">
        <v>781</v>
      </c>
      <c r="E37" s="158" t="str">
        <f>VLOOKUP(F37, 'FULL REFERENCE'!F:G, 2, FALSE)</f>
        <v>Parent training for high-risk families</v>
      </c>
      <c r="F37" s="2" t="str">
        <f>VLOOKUP(D37, 'FULL REFERENCE'!A:B, 2, FALSE)</f>
        <v>Parent training for high-risk families, including nurse home visitation for child maltreatment</v>
      </c>
      <c r="G37" s="2" t="s">
        <v>1074</v>
      </c>
      <c r="H37" s="2"/>
      <c r="I37" s="2" t="s">
        <v>846</v>
      </c>
      <c r="J37" s="2"/>
      <c r="K37" s="2">
        <v>3.0219082286381651</v>
      </c>
      <c r="L37" s="2">
        <v>1662.0495257509908</v>
      </c>
      <c r="M37" s="1">
        <f t="shared" si="8"/>
        <v>1662.0495257509908</v>
      </c>
      <c r="N37" s="128">
        <f t="shared" si="9"/>
        <v>2668.4120460919921</v>
      </c>
      <c r="O37" s="128">
        <f t="shared" si="10"/>
        <v>2833.8535929496957</v>
      </c>
      <c r="P37" s="218">
        <f t="shared" si="3"/>
        <v>5.1524610780903561</v>
      </c>
      <c r="Q37" s="130">
        <v>0.2</v>
      </c>
      <c r="R37" s="220">
        <f>Q37+increase_in_actual_to_target_coverage_for_NCDs</f>
        <v>0.30000000000000004</v>
      </c>
      <c r="T37" s="128">
        <f t="shared" si="4"/>
        <v>0</v>
      </c>
      <c r="U37" s="218">
        <f t="shared" si="5"/>
        <v>0</v>
      </c>
      <c r="V37" s="1"/>
      <c r="Y37" t="s">
        <v>2002</v>
      </c>
    </row>
    <row r="38" spans="1:25" ht="28.8" hidden="1">
      <c r="A38" s="1" t="s">
        <v>2291</v>
      </c>
      <c r="C38" s="1" t="s">
        <v>916</v>
      </c>
      <c r="D38" s="1" t="s">
        <v>834</v>
      </c>
      <c r="E38" s="135" t="str">
        <f>VLOOKUP(F38, 'FULL REFERENCE'!F:G, 2, FALSE)</f>
        <v>WASH behavior change interventions</v>
      </c>
      <c r="F38" s="2" t="str">
        <f>VLOOKUP(D38, 'FULL REFERENCE'!A:B, 2, FALSE)</f>
        <v>WASH behavior change interventions, such as community-led total sanitation</v>
      </c>
      <c r="G38" s="1" t="s">
        <v>949</v>
      </c>
      <c r="H38" s="1"/>
      <c r="I38" s="1" t="s">
        <v>846</v>
      </c>
      <c r="J38" s="1"/>
      <c r="K38" s="1">
        <v>0.41942359295556153</v>
      </c>
      <c r="L38" s="1">
        <v>230.68297612555884</v>
      </c>
      <c r="M38" s="1">
        <f t="shared" si="8"/>
        <v>230.68297612555884</v>
      </c>
      <c r="N38" s="128">
        <f t="shared" si="9"/>
        <v>370.36034292880379</v>
      </c>
      <c r="O38" s="128">
        <f t="shared" si="10"/>
        <v>393.32268419038962</v>
      </c>
      <c r="P38" s="218">
        <f t="shared" si="3"/>
        <v>0.71513215307343569</v>
      </c>
      <c r="Q38" s="130">
        <v>0.5</v>
      </c>
      <c r="R38" s="163">
        <v>0.8</v>
      </c>
      <c r="T38" s="128">
        <f t="shared" si="4"/>
        <v>0</v>
      </c>
      <c r="U38" s="218">
        <f t="shared" si="5"/>
        <v>0</v>
      </c>
      <c r="V38" s="1"/>
    </row>
    <row r="39" spans="1:25" ht="28.8" hidden="1">
      <c r="A39" s="1" t="s">
        <v>2291</v>
      </c>
      <c r="C39" s="1" t="s">
        <v>1332</v>
      </c>
      <c r="D39" s="1" t="s">
        <v>782</v>
      </c>
      <c r="E39" s="135" t="str">
        <f>VLOOKUP(F39, 'FULL REFERENCE'!F:G, 2, FALSE)</f>
        <v>Cardiac and pulmonary rehabilitation</v>
      </c>
      <c r="F39" s="2" t="str">
        <f>VLOOKUP(D39, 'FULL REFERENCE'!A:B, 2, FALSE)</f>
        <v>Cardiac and pulmonary rehabilitation programs</v>
      </c>
      <c r="G39" s="2" t="s">
        <v>1075</v>
      </c>
      <c r="H39" s="2"/>
      <c r="I39" s="2" t="s">
        <v>846</v>
      </c>
      <c r="J39" s="2"/>
      <c r="K39" s="2">
        <v>5.2529935346168033</v>
      </c>
      <c r="L39" s="2">
        <v>2889.1464440392419</v>
      </c>
      <c r="M39" s="1">
        <f t="shared" si="8"/>
        <v>2889.1464440392419</v>
      </c>
      <c r="N39" s="128">
        <f t="shared" si="9"/>
        <v>4638.5098968183147</v>
      </c>
      <c r="O39" s="128">
        <f t="shared" si="10"/>
        <v>4926.0975104210502</v>
      </c>
      <c r="P39" s="218">
        <f t="shared" si="3"/>
        <v>8.9565409280382724</v>
      </c>
      <c r="Q39" s="130">
        <v>0.1</v>
      </c>
      <c r="R39" s="220">
        <f>Q39+increase_in_actual_to_target_coverage_for_NCDs</f>
        <v>0.2</v>
      </c>
      <c r="T39" s="128">
        <f t="shared" si="4"/>
        <v>0</v>
      </c>
      <c r="U39" s="218">
        <f t="shared" si="5"/>
        <v>0</v>
      </c>
      <c r="V39" s="1"/>
    </row>
    <row r="40" spans="1:25" ht="72" hidden="1">
      <c r="A40" s="1" t="s">
        <v>2291</v>
      </c>
      <c r="C40" s="1" t="s">
        <v>1332</v>
      </c>
      <c r="D40" s="1" t="s">
        <v>783</v>
      </c>
      <c r="E40" s="135" t="str">
        <f>VLOOKUP(F40, 'FULL REFERENCE'!F:G, 2, FALSE)</f>
        <v>ECD rehabilitation interventions</v>
      </c>
      <c r="F40" s="2" t="str">
        <f>VLOOKUP(D40, 'FULL REFERENCE'!A:B, 2, FALSE)</f>
        <v xml:space="preserve">Early childhood development rehabilitation interventions, including motor, sensory, and language stimulation </v>
      </c>
      <c r="G40" s="2" t="s">
        <v>1076</v>
      </c>
      <c r="H40" s="2"/>
      <c r="I40" s="2" t="s">
        <v>846</v>
      </c>
      <c r="J40" s="2"/>
      <c r="K40" s="2">
        <v>5.2529935346168033</v>
      </c>
      <c r="L40" s="2">
        <v>2889.1464440392419</v>
      </c>
      <c r="M40" s="1">
        <f t="shared" si="8"/>
        <v>2889.1464440392419</v>
      </c>
      <c r="N40" s="128">
        <f t="shared" si="9"/>
        <v>4638.5098968183147</v>
      </c>
      <c r="O40" s="128">
        <f t="shared" si="10"/>
        <v>4926.0975104210502</v>
      </c>
      <c r="P40" s="218">
        <f t="shared" si="3"/>
        <v>8.9565409280382724</v>
      </c>
      <c r="Q40" s="130">
        <v>0.1</v>
      </c>
      <c r="R40" s="220">
        <f>Q40+increase_in_actual_to_target_coverage_for_NCDs</f>
        <v>0.2</v>
      </c>
      <c r="T40" s="128">
        <f t="shared" si="4"/>
        <v>0</v>
      </c>
      <c r="U40" s="218">
        <f t="shared" si="5"/>
        <v>0</v>
      </c>
      <c r="V40" s="1"/>
    </row>
    <row r="41" spans="1:25" ht="43.2" hidden="1">
      <c r="A41" s="1" t="s">
        <v>2291</v>
      </c>
      <c r="C41" s="1" t="s">
        <v>1332</v>
      </c>
      <c r="D41" s="1" t="s">
        <v>784</v>
      </c>
      <c r="E41" s="135" t="str">
        <f>VLOOKUP(F41, 'FULL REFERENCE'!F:G, 2, FALSE)</f>
        <v>Self-care interventions for disabilities</v>
      </c>
      <c r="F41" s="2" t="str">
        <f>VLOOKUP(D41, 'FULL REFERENCE'!A:B, 2, FALSE)</f>
        <v>Functional interventions for self-care for individuals with disabilities</v>
      </c>
      <c r="G41" s="2" t="s">
        <v>1077</v>
      </c>
      <c r="H41" s="2"/>
      <c r="I41" s="2" t="s">
        <v>846</v>
      </c>
      <c r="J41" s="2"/>
      <c r="K41" s="2">
        <v>5.2529935346168033</v>
      </c>
      <c r="L41" s="2">
        <v>2889.1464440392419</v>
      </c>
      <c r="M41" s="1">
        <f t="shared" si="8"/>
        <v>2889.1464440392419</v>
      </c>
      <c r="N41" s="128">
        <f t="shared" si="9"/>
        <v>4638.5098968183147</v>
      </c>
      <c r="O41" s="128">
        <f t="shared" si="10"/>
        <v>4926.0975104210502</v>
      </c>
      <c r="P41" s="218">
        <f t="shared" si="3"/>
        <v>8.9565409280382724</v>
      </c>
      <c r="Q41" s="130">
        <v>0.2</v>
      </c>
      <c r="R41" s="220">
        <f>Q41+increase_in_actual_to_target_coverage_for_NCDs</f>
        <v>0.30000000000000004</v>
      </c>
      <c r="T41" s="128">
        <f t="shared" si="4"/>
        <v>0</v>
      </c>
      <c r="U41" s="218">
        <f t="shared" si="5"/>
        <v>0</v>
      </c>
      <c r="V41" s="1"/>
    </row>
    <row r="42" spans="1:25" ht="57.6" hidden="1">
      <c r="C42" s="1" t="s">
        <v>1332</v>
      </c>
      <c r="D42" s="1" t="s">
        <v>788</v>
      </c>
      <c r="E42" s="135" t="str">
        <f>VLOOKUP(F42, 'FULL REFERENCE'!F:G, 2, FALSE)</f>
        <v>Training and retraining for speech</v>
      </c>
      <c r="F42" s="2" t="str">
        <f>VLOOKUP(D42, 'FULL REFERENCE'!A:B, 2, FALSE)</f>
        <v>Training and retraining for disorders of speech, swallowing, communication, and cognition</v>
      </c>
      <c r="G42" s="2" t="s">
        <v>1078</v>
      </c>
      <c r="H42" s="1"/>
      <c r="I42" s="2" t="s">
        <v>846</v>
      </c>
      <c r="J42" s="2"/>
      <c r="K42" s="2">
        <v>5.2529935346168033</v>
      </c>
      <c r="L42" s="2">
        <v>2889.1464440392419</v>
      </c>
      <c r="M42" s="1">
        <f t="shared" si="8"/>
        <v>2889.1464440392419</v>
      </c>
      <c r="N42" s="128">
        <f t="shared" si="9"/>
        <v>4638.5098968183147</v>
      </c>
      <c r="O42" s="128">
        <f t="shared" si="10"/>
        <v>4926.0975104210502</v>
      </c>
      <c r="P42" s="218">
        <f t="shared" si="3"/>
        <v>8.9565409280382724</v>
      </c>
      <c r="Q42" s="130">
        <v>0.2</v>
      </c>
      <c r="R42" s="220">
        <f>Q42+increase_in_actual_to_target_coverage_for_NCDs</f>
        <v>0.30000000000000004</v>
      </c>
      <c r="T42" s="128">
        <f t="shared" si="4"/>
        <v>0</v>
      </c>
      <c r="U42" s="218">
        <f t="shared" si="5"/>
        <v>0</v>
      </c>
      <c r="V42" s="1"/>
    </row>
    <row r="43" spans="1:25" ht="86.4" hidden="1">
      <c r="A43" s="1" t="s">
        <v>2291</v>
      </c>
      <c r="C43" s="1" t="s">
        <v>1332</v>
      </c>
      <c r="D43" s="1" t="s">
        <v>789</v>
      </c>
      <c r="E43" s="135" t="str">
        <f>VLOOKUP(F43, 'FULL REFERENCE'!F:G, 2, FALSE)</f>
        <v>Training, retraining, and exercise programs</v>
      </c>
      <c r="F43" s="2" t="str">
        <f>VLOOKUP(D43, 'FULL REFERENCE'!A:B, 2, FALSE)</f>
        <v>Training, retraining, and exercise programs that address musculoskeletal injuries and disorders, including chronic low back and neck pain</v>
      </c>
      <c r="G43" s="2" t="s">
        <v>1079</v>
      </c>
      <c r="H43" s="1"/>
      <c r="I43" s="2" t="s">
        <v>846</v>
      </c>
      <c r="J43" s="2"/>
      <c r="K43" s="2">
        <v>5.2529935346168033</v>
      </c>
      <c r="L43" s="2">
        <v>2889.1464440392419</v>
      </c>
      <c r="M43" s="1">
        <f t="shared" si="8"/>
        <v>2889.1464440392419</v>
      </c>
      <c r="N43" s="128">
        <f t="shared" si="9"/>
        <v>4638.5098968183147</v>
      </c>
      <c r="O43" s="128">
        <f t="shared" si="10"/>
        <v>4926.0975104210502</v>
      </c>
      <c r="P43" s="218">
        <f t="shared" si="3"/>
        <v>8.9565409280382724</v>
      </c>
      <c r="Q43" s="130">
        <v>0.2</v>
      </c>
      <c r="R43" s="220">
        <f>Q43+increase_in_actual_to_target_coverage_for_NCDs</f>
        <v>0.30000000000000004</v>
      </c>
      <c r="T43" s="128">
        <f t="shared" si="4"/>
        <v>0</v>
      </c>
      <c r="U43" s="218">
        <f t="shared" si="5"/>
        <v>0</v>
      </c>
      <c r="V43" s="1"/>
    </row>
    <row r="44" spans="1:25" hidden="1">
      <c r="A44" s="1" t="s">
        <v>2287</v>
      </c>
      <c r="C44" s="1" t="s">
        <v>1956</v>
      </c>
      <c r="D44" t="s">
        <v>643</v>
      </c>
      <c r="E44" s="138" t="str">
        <f>VLOOKUP(F44, 'FULL REFERENCE'!F:G, 2, FALSE)</f>
        <v>HIV education and counseling</v>
      </c>
      <c r="F44" s="1" t="str">
        <f>VLOOKUP(D44, 'FULL REFERENCE'!A:B, 2, FALSE)</f>
        <v>HIV education and counseling for pregnant women, sex workers, people who inject drugs, men who have sex with men, and transgender individuals, and PLHIV and their partners</v>
      </c>
      <c r="G44" t="s">
        <v>906</v>
      </c>
      <c r="I44" t="s">
        <v>846</v>
      </c>
      <c r="K44">
        <v>0.248529494536535</v>
      </c>
      <c r="L44">
        <v>136.69122199509425</v>
      </c>
      <c r="M44" s="1">
        <f t="shared" si="8"/>
        <v>136.69122199509425</v>
      </c>
      <c r="N44" s="128">
        <f t="shared" si="9"/>
        <v>219.45706052407431</v>
      </c>
      <c r="O44" s="128">
        <f t="shared" si="10"/>
        <v>233.06339827656691</v>
      </c>
      <c r="P44" s="218">
        <f t="shared" si="3"/>
        <v>0.42375163323012166</v>
      </c>
      <c r="Q44" s="7">
        <v>0.9</v>
      </c>
      <c r="R44" s="163">
        <v>1</v>
      </c>
      <c r="T44" s="128">
        <f t="shared" si="4"/>
        <v>0</v>
      </c>
      <c r="U44" s="218">
        <f t="shared" si="5"/>
        <v>0</v>
      </c>
      <c r="V44" t="s">
        <v>907</v>
      </c>
      <c r="W44" s="118">
        <v>4321548669.6099997</v>
      </c>
      <c r="X44" s="112" t="s">
        <v>1137</v>
      </c>
    </row>
    <row r="45" spans="1:25" hidden="1">
      <c r="C45" s="1" t="s">
        <v>1300</v>
      </c>
      <c r="D45" t="s">
        <v>640</v>
      </c>
      <c r="E45" s="138" t="str">
        <f>VLOOKUP(F45, 'FULL REFERENCE'!F:G, 2, FALSE)</f>
        <v>IPT for malaria in pregnancy</v>
      </c>
      <c r="F45" s="1" t="str">
        <f>VLOOKUP(D45, 'FULL REFERENCE'!A:B, 2, FALSE)</f>
        <v>In high malaria transmission settings, intermittent preventive treatment in pregnancy</v>
      </c>
      <c r="G45" t="s">
        <v>867</v>
      </c>
      <c r="H45" t="s">
        <v>848</v>
      </c>
      <c r="I45" t="s">
        <v>846</v>
      </c>
      <c r="K45">
        <v>0.4495242026345686</v>
      </c>
      <c r="L45">
        <v>247.23831144901274</v>
      </c>
      <c r="M45" s="26">
        <v>168.17422500000001</v>
      </c>
      <c r="N45" s="128">
        <f>M45</f>
        <v>168.17422500000001</v>
      </c>
      <c r="O45" s="128">
        <f>N45</f>
        <v>168.17422500000001</v>
      </c>
      <c r="P45" s="218">
        <f t="shared" si="3"/>
        <v>0.30577131818181819</v>
      </c>
      <c r="Q45" s="7">
        <v>0.65</v>
      </c>
      <c r="R45" s="163">
        <v>0.8</v>
      </c>
      <c r="S45" s="125">
        <f>'Population cible'!C4</f>
        <v>1049902</v>
      </c>
      <c r="T45" s="128">
        <f t="shared" si="4"/>
        <v>114768195.86436751</v>
      </c>
      <c r="U45" s="218">
        <f t="shared" si="5"/>
        <v>208669.44702612274</v>
      </c>
      <c r="V45" t="s">
        <v>868</v>
      </c>
    </row>
    <row r="46" spans="1:25" ht="57.6" hidden="1">
      <c r="A46" s="1" t="s">
        <v>2287</v>
      </c>
      <c r="C46" s="1" t="s">
        <v>1119</v>
      </c>
      <c r="D46" s="27" t="s">
        <v>665</v>
      </c>
      <c r="E46" s="138" t="str">
        <f>VLOOKUP(F46, 'FULL REFERENCE'!F:G, 2, FALSE)</f>
        <v>Acute severe malnutrition management</v>
      </c>
      <c r="F46" s="1" t="str">
        <f>VLOOKUP(D46, 'FULL REFERENCE'!A:B, 2, FALSE)</f>
        <v>Detection and management of acute severe malnutrition and referral in the presence of complications</v>
      </c>
      <c r="G46" s="28" t="s">
        <v>960</v>
      </c>
      <c r="H46" s="28" t="s">
        <v>847</v>
      </c>
      <c r="I46" s="28" t="s">
        <v>846</v>
      </c>
      <c r="J46" s="28" t="s">
        <v>869</v>
      </c>
      <c r="K46" s="28">
        <v>47.662070827236811</v>
      </c>
      <c r="L46" s="28">
        <v>26214.138954980244</v>
      </c>
      <c r="M46" s="28">
        <f>L46</f>
        <v>26214.138954980244</v>
      </c>
      <c r="N46" s="128">
        <f>(M46*0.7*Salary_CIV_cost_uplift)+(M46*0.3)</f>
        <v>42086.666541294515</v>
      </c>
      <c r="O46" s="128">
        <f t="shared" ref="O46:O50" si="11">N46*1.062</f>
        <v>44696.039866854779</v>
      </c>
      <c r="P46" s="218">
        <f t="shared" si="3"/>
        <v>81.265527030645046</v>
      </c>
      <c r="Q46" s="29">
        <v>0.95</v>
      </c>
      <c r="R46" s="163">
        <v>0.95</v>
      </c>
      <c r="S46" s="126">
        <f>'Population cible'!C15</f>
        <v>48937</v>
      </c>
      <c r="T46" s="128">
        <f t="shared" si="4"/>
        <v>2077925597.8160586</v>
      </c>
      <c r="U46" s="218">
        <f t="shared" si="5"/>
        <v>3778046.5414837431</v>
      </c>
      <c r="V46" s="27"/>
    </row>
    <row r="47" spans="1:25" ht="28.8" hidden="1">
      <c r="C47" s="1" t="s">
        <v>916</v>
      </c>
      <c r="D47" t="s">
        <v>666</v>
      </c>
      <c r="E47" s="138" t="str">
        <f>VLOOKUP(F47, 'FULL REFERENCE'!F:G, 2, FALSE)</f>
        <v>Integrated community case management</v>
      </c>
      <c r="F47" s="2" t="str">
        <f>VLOOKUP(D47, 'FULL REFERENCE'!A:B, 2, FALSE)</f>
        <v>Detection and treatment of childhood infections (iCCM), including referral if danger signs</v>
      </c>
      <c r="G47" t="s">
        <v>961</v>
      </c>
      <c r="H47" t="s">
        <v>918</v>
      </c>
      <c r="I47" t="s">
        <v>846</v>
      </c>
      <c r="J47" t="s">
        <v>919</v>
      </c>
      <c r="K47">
        <v>8.9096486099157115</v>
      </c>
      <c r="L47">
        <v>4900.3067354536415</v>
      </c>
      <c r="M47" s="28">
        <f>L47</f>
        <v>4900.3067354536415</v>
      </c>
      <c r="N47" s="128">
        <f>(M47*0.7*Salary_CIV_cost_uplift)+(M47*0.3)</f>
        <v>7867.4174985982236</v>
      </c>
      <c r="O47" s="128">
        <f t="shared" si="11"/>
        <v>8355.1973835113131</v>
      </c>
      <c r="P47" s="218">
        <f t="shared" si="3"/>
        <v>15.191267970020569</v>
      </c>
      <c r="Q47" s="7">
        <v>0.32</v>
      </c>
      <c r="R47" s="163">
        <v>0.8</v>
      </c>
      <c r="S47" s="125">
        <f>'IHME prevalence'!G4</f>
        <v>554960.52541999996</v>
      </c>
      <c r="T47" s="128">
        <f t="shared" si="4"/>
        <v>1483777513.5811992</v>
      </c>
      <c r="U47" s="218">
        <f t="shared" si="5"/>
        <v>2697777.297420362</v>
      </c>
      <c r="V47" t="s">
        <v>1121</v>
      </c>
      <c r="W47" s="115" t="e">
        <f>[1]DISXHC!$F$22+[1]DISXHC!$F$21</f>
        <v>#REF!</v>
      </c>
      <c r="X47" s="112" t="s">
        <v>1142</v>
      </c>
    </row>
    <row r="48" spans="1:25" hidden="1">
      <c r="C48" s="1" t="s">
        <v>916</v>
      </c>
      <c r="D48" t="s">
        <v>624</v>
      </c>
      <c r="E48" s="135" t="str">
        <f>VLOOKUP(F48, 'FULL REFERENCE'!F:G, 2, FALSE)</f>
        <v>Care for fetal growth restriction</v>
      </c>
      <c r="F48" s="2" t="str">
        <f>VLOOKUP(D48, 'FULL REFERENCE'!A:B, 2, FALSE)</f>
        <v>Detection and management of fetal growth restriction</v>
      </c>
      <c r="G48" t="s">
        <v>923</v>
      </c>
      <c r="H48" t="s">
        <v>847</v>
      </c>
      <c r="I48" t="s">
        <v>864</v>
      </c>
      <c r="K48">
        <v>231.27734299174813</v>
      </c>
      <c r="L48">
        <v>127202.53864546146</v>
      </c>
      <c r="M48" s="28">
        <f>L48</f>
        <v>127202.53864546146</v>
      </c>
      <c r="N48" s="128">
        <f>(M48*0.7*Salary_CIV_cost_uplift)+(M48*0.3)</f>
        <v>204223.02774742042</v>
      </c>
      <c r="O48" s="128">
        <f t="shared" si="11"/>
        <v>216884.8554677605</v>
      </c>
      <c r="P48" s="218">
        <f t="shared" si="3"/>
        <v>394.33610085047366</v>
      </c>
      <c r="Q48" s="130">
        <v>0.5</v>
      </c>
      <c r="R48" s="163">
        <v>0.8</v>
      </c>
      <c r="T48" s="128">
        <f t="shared" si="4"/>
        <v>0</v>
      </c>
      <c r="U48" s="218">
        <f t="shared" si="5"/>
        <v>0</v>
      </c>
    </row>
    <row r="49" spans="1:24" ht="28.8" hidden="1">
      <c r="C49" s="1" t="s">
        <v>916</v>
      </c>
      <c r="D49" s="1" t="s">
        <v>646</v>
      </c>
      <c r="E49" s="152" t="str">
        <f>VLOOKUP(F49, 'FULL REFERENCE'!F:G, 2, FALSE)</f>
        <v xml:space="preserve">Surgical termination of pregnancy </v>
      </c>
      <c r="F49" s="2" t="str">
        <f>VLOOKUP(D49, 'FULL REFERENCE'!A:B, 2, FALSE)</f>
        <v xml:space="preserve">Surgical termination of pregnancy by manual vacuum aspiration and dilation and curettage </v>
      </c>
      <c r="G49" s="1" t="s">
        <v>944</v>
      </c>
      <c r="H49" s="1" t="s">
        <v>918</v>
      </c>
      <c r="I49" s="1" t="s">
        <v>864</v>
      </c>
      <c r="J49" s="1"/>
      <c r="K49" s="1">
        <v>161.22124895711178</v>
      </c>
      <c r="L49" s="1">
        <v>88671.686926411479</v>
      </c>
      <c r="M49" s="28">
        <f>L49</f>
        <v>88671.686926411479</v>
      </c>
      <c r="N49" s="128">
        <f>(M49*0.7*Salary_CIV_cost_uplift)+(M49*0.3)</f>
        <v>142361.94161231248</v>
      </c>
      <c r="O49" s="128">
        <f t="shared" si="11"/>
        <v>151188.38199227586</v>
      </c>
      <c r="P49" s="218">
        <f t="shared" si="3"/>
        <v>274.88796725868337</v>
      </c>
      <c r="Q49" s="144">
        <v>0.4</v>
      </c>
      <c r="R49" s="163">
        <v>0.8</v>
      </c>
      <c r="S49" s="125">
        <f>'Population cible'!C19</f>
        <v>250000</v>
      </c>
      <c r="T49" s="128">
        <f t="shared" si="4"/>
        <v>15118838199.227585</v>
      </c>
      <c r="U49" s="218">
        <f t="shared" si="5"/>
        <v>27488796.725868337</v>
      </c>
      <c r="V49" s="142"/>
    </row>
    <row r="50" spans="1:24" ht="142.94999999999999" hidden="1" customHeight="1">
      <c r="C50" s="1" t="s">
        <v>916</v>
      </c>
      <c r="D50" s="1" t="s">
        <v>667</v>
      </c>
      <c r="E50" s="135" t="str">
        <f>VLOOKUP(F50, 'FULL REFERENCE'!F:G, 2, FALSE)</f>
        <v>Care for severe childhood infections</v>
      </c>
      <c r="F50" s="2" t="str">
        <f>VLOOKUP(D50, 'FULL REFERENCE'!A:B, 2, FALSE)</f>
        <v>Full supportive care for severe childhood infections with danger signs</v>
      </c>
      <c r="G50" s="1" t="s">
        <v>962</v>
      </c>
      <c r="H50" s="1" t="s">
        <v>918</v>
      </c>
      <c r="I50" s="1" t="s">
        <v>864</v>
      </c>
      <c r="J50" s="1"/>
      <c r="K50" s="1" t="s">
        <v>871</v>
      </c>
      <c r="L50" s="1"/>
      <c r="M50" s="1"/>
      <c r="N50" s="128">
        <f>(M50*0.7*Salary_CIV_cost_uplift)+(M50*0.3)</f>
        <v>0</v>
      </c>
      <c r="O50" s="128">
        <f t="shared" si="11"/>
        <v>0</v>
      </c>
      <c r="P50" s="218">
        <f t="shared" si="3"/>
        <v>0</v>
      </c>
      <c r="Q50" s="130">
        <v>0.5</v>
      </c>
      <c r="R50" s="163">
        <v>0.8</v>
      </c>
      <c r="T50" s="128">
        <f t="shared" si="4"/>
        <v>0</v>
      </c>
      <c r="U50" s="218">
        <f t="shared" si="5"/>
        <v>0</v>
      </c>
      <c r="V50" s="1"/>
    </row>
    <row r="51" spans="1:24" ht="158.4" hidden="1">
      <c r="A51" s="1" t="s">
        <v>2288</v>
      </c>
      <c r="C51" s="1" t="s">
        <v>1119</v>
      </c>
      <c r="D51" s="27" t="s">
        <v>668</v>
      </c>
      <c r="E51" s="1" t="str">
        <f>VLOOKUP(F51, 'FULL REFERENCE'!F:G, 2, FALSE)</f>
        <v>Severe acute malnutrition management</v>
      </c>
      <c r="F51" s="1" t="str">
        <f>VLOOKUP(D51, 'FULL REFERENCE'!A:B, 2, FALSE)</f>
        <v>Management of severe acute malnutrition associated with serious infection</v>
      </c>
      <c r="G51" s="28" t="s">
        <v>963</v>
      </c>
      <c r="H51" s="28" t="s">
        <v>847</v>
      </c>
      <c r="I51" s="28" t="s">
        <v>864</v>
      </c>
      <c r="J51" s="28"/>
      <c r="K51" s="28" t="s">
        <v>871</v>
      </c>
      <c r="L51" s="28"/>
      <c r="M51" s="6">
        <v>15000</v>
      </c>
      <c r="N51" s="128">
        <f>M51</f>
        <v>15000</v>
      </c>
      <c r="O51" s="128">
        <f>N51</f>
        <v>15000</v>
      </c>
      <c r="P51" s="218">
        <f t="shared" si="3"/>
        <v>27.272727272727273</v>
      </c>
      <c r="Q51" s="29">
        <v>0.95</v>
      </c>
      <c r="R51" s="163">
        <v>0.95</v>
      </c>
      <c r="S51" s="126">
        <f>'Population cible'!C15</f>
        <v>48937</v>
      </c>
      <c r="T51" s="128">
        <f t="shared" si="4"/>
        <v>697352250</v>
      </c>
      <c r="U51" s="218">
        <f t="shared" si="5"/>
        <v>1267913.1818181819</v>
      </c>
      <c r="V51" s="28" t="s">
        <v>1118</v>
      </c>
      <c r="W51" s="120">
        <v>2927694253.8499999</v>
      </c>
      <c r="X51" s="112" t="s">
        <v>1148</v>
      </c>
    </row>
    <row r="52" spans="1:24" hidden="1">
      <c r="A52" s="1" t="s">
        <v>2293</v>
      </c>
      <c r="C52" s="1" t="s">
        <v>916</v>
      </c>
      <c r="D52" s="1" t="s">
        <v>678</v>
      </c>
      <c r="E52" s="135" t="str">
        <f>VLOOKUP(F52, 'FULL REFERENCE'!F:G, 2, FALSE)</f>
        <v>Care for early-stage cervical cancer</v>
      </c>
      <c r="F52" s="2" t="str">
        <f>VLOOKUP(D52, 'FULL REFERENCE'!A:B, 2, FALSE)</f>
        <v>Early detection and treatment of early-stage cervical cancer</v>
      </c>
      <c r="G52" s="1" t="s">
        <v>885</v>
      </c>
      <c r="H52" s="1" t="s">
        <v>918</v>
      </c>
      <c r="I52" s="1" t="s">
        <v>864</v>
      </c>
      <c r="J52" s="1"/>
      <c r="K52" s="1">
        <v>35.577304550758463</v>
      </c>
      <c r="L52" s="1">
        <v>19567.517502917155</v>
      </c>
      <c r="M52" s="1">
        <f>L52</f>
        <v>19567.517502917155</v>
      </c>
      <c r="N52" s="128">
        <f>(M52*0.7*Salary_CIV_cost_uplift)+(M52*0.3)</f>
        <v>31415.549661979687</v>
      </c>
      <c r="O52" s="128">
        <f>N52*1.062</f>
        <v>33363.31374102243</v>
      </c>
      <c r="P52" s="218">
        <f t="shared" si="3"/>
        <v>60.660570438222599</v>
      </c>
      <c r="Q52" s="130">
        <v>0.2</v>
      </c>
      <c r="R52" s="163">
        <v>0.8</v>
      </c>
      <c r="S52" s="125">
        <v>1789</v>
      </c>
      <c r="T52" s="128">
        <f t="shared" si="4"/>
        <v>11937393.656537825</v>
      </c>
      <c r="U52" s="218">
        <f t="shared" si="5"/>
        <v>21704.352102796045</v>
      </c>
      <c r="V52" s="1"/>
    </row>
    <row r="53" spans="1:24">
      <c r="C53" s="1" t="s">
        <v>916</v>
      </c>
      <c r="D53" s="1" t="s">
        <v>679</v>
      </c>
      <c r="E53" s="138" t="str">
        <f>VLOOKUP(F53, 'FULL REFERENCE'!F:G, 2, FALSE)</f>
        <v>Insertion and removal of contraceptives</v>
      </c>
      <c r="F53" s="2" t="str">
        <f>VLOOKUP(D53, 'FULL REFERENCE'!A:B, 2, FALSE)</f>
        <v>Insertion and removal of long-lasting contraceptives</v>
      </c>
      <c r="G53" s="1" t="s">
        <v>967</v>
      </c>
      <c r="H53" s="1" t="s">
        <v>918</v>
      </c>
      <c r="I53" s="1" t="s">
        <v>864</v>
      </c>
      <c r="J53" s="1"/>
      <c r="K53" s="1" t="s">
        <v>871</v>
      </c>
      <c r="L53" s="1"/>
      <c r="M53" s="26">
        <v>1500</v>
      </c>
      <c r="N53" s="128">
        <f>M53</f>
        <v>1500</v>
      </c>
      <c r="O53" s="128">
        <f t="shared" ref="O53:O54" si="12">N53</f>
        <v>1500</v>
      </c>
      <c r="P53" s="218">
        <f t="shared" si="3"/>
        <v>2.7272727272727271</v>
      </c>
      <c r="Q53" s="8">
        <v>0.33700000000000002</v>
      </c>
      <c r="R53" s="163">
        <v>0.8</v>
      </c>
      <c r="S53" s="125">
        <f>'Population cible'!C20</f>
        <v>5456809</v>
      </c>
      <c r="T53" s="128">
        <f t="shared" si="4"/>
        <v>2758416949.5</v>
      </c>
      <c r="U53" s="218">
        <f t="shared" si="5"/>
        <v>5015303.5445454549</v>
      </c>
      <c r="V53" s="1" t="s">
        <v>1955</v>
      </c>
      <c r="W53" s="117">
        <v>12284092039.49</v>
      </c>
      <c r="X53" s="112" t="s">
        <v>1152</v>
      </c>
    </row>
    <row r="54" spans="1:24" hidden="1">
      <c r="C54" s="1" t="s">
        <v>916</v>
      </c>
      <c r="D54" s="1" t="s">
        <v>680</v>
      </c>
      <c r="E54" s="138" t="str">
        <f>VLOOKUP(F54, 'FULL REFERENCE'!F:G, 2, FALSE)</f>
        <v>Tubal ligation</v>
      </c>
      <c r="F54" s="2" t="str">
        <f>VLOOKUP(D54, 'FULL REFERENCE'!A:B, 2, FALSE)</f>
        <v>Tubal ligation</v>
      </c>
      <c r="G54" s="1" t="s">
        <v>968</v>
      </c>
      <c r="H54" s="1" t="s">
        <v>918</v>
      </c>
      <c r="I54" s="1" t="s">
        <v>864</v>
      </c>
      <c r="J54" s="1"/>
      <c r="K54" s="1" t="s">
        <v>871</v>
      </c>
      <c r="L54" s="1"/>
      <c r="M54" s="26">
        <v>2632.4595599999998</v>
      </c>
      <c r="N54" s="128">
        <f>M54</f>
        <v>2632.4595599999998</v>
      </c>
      <c r="O54" s="128">
        <f t="shared" si="12"/>
        <v>2632.4595599999998</v>
      </c>
      <c r="P54" s="218">
        <f t="shared" si="3"/>
        <v>4.7862901090909089</v>
      </c>
      <c r="Q54" s="8">
        <v>0.1124</v>
      </c>
      <c r="R54" s="163">
        <v>0.8</v>
      </c>
      <c r="S54" s="125">
        <v>5456809</v>
      </c>
      <c r="T54" s="128">
        <f t="shared" si="4"/>
        <v>1614606781.75179</v>
      </c>
      <c r="U54" s="218">
        <f t="shared" si="5"/>
        <v>2935648.6940941638</v>
      </c>
      <c r="V54" s="1"/>
    </row>
    <row r="55" spans="1:24" hidden="1">
      <c r="C55" s="1" t="s">
        <v>916</v>
      </c>
      <c r="D55" s="1" t="s">
        <v>681</v>
      </c>
      <c r="E55" s="138" t="str">
        <f>VLOOKUP(F55, 'FULL REFERENCE'!F:G, 2, FALSE)</f>
        <v>Vasectomy</v>
      </c>
      <c r="F55" s="2" t="str">
        <f>VLOOKUP(D55, 'FULL REFERENCE'!A:B, 2, FALSE)</f>
        <v>Vasectomy</v>
      </c>
      <c r="G55" s="1" t="s">
        <v>969</v>
      </c>
      <c r="H55" s="1" t="s">
        <v>918</v>
      </c>
      <c r="I55" s="1" t="s">
        <v>864</v>
      </c>
      <c r="J55" s="1"/>
      <c r="K55" s="1" t="s">
        <v>871</v>
      </c>
      <c r="L55" s="1"/>
      <c r="M55" s="1"/>
      <c r="N55" s="128">
        <f>(M55*0.7*Salary_CIV_cost_uplift)+(M55*0.3)</f>
        <v>0</v>
      </c>
      <c r="O55" s="128">
        <f t="shared" ref="O55:O56" si="13">N55*1.062</f>
        <v>0</v>
      </c>
      <c r="P55" s="218">
        <f t="shared" si="3"/>
        <v>0</v>
      </c>
      <c r="Q55" s="7">
        <v>0.2</v>
      </c>
      <c r="R55" s="163">
        <v>0.8</v>
      </c>
      <c r="T55" s="128">
        <f t="shared" si="4"/>
        <v>0</v>
      </c>
      <c r="U55" s="218">
        <f t="shared" si="5"/>
        <v>0</v>
      </c>
      <c r="V55" s="1" t="s">
        <v>1458</v>
      </c>
    </row>
    <row r="56" spans="1:24" hidden="1">
      <c r="C56" s="1" t="s">
        <v>1956</v>
      </c>
      <c r="D56" s="1" t="s">
        <v>691</v>
      </c>
      <c r="E56" s="1" t="str">
        <f>VLOOKUP(F56, 'FULL REFERENCE'!F:G, 2, FALSE)</f>
        <v>Referral for DST and MDR-TB treatment</v>
      </c>
      <c r="F56" s="1" t="str">
        <f>VLOOKUP(D56, 'FULL REFERENCE'!A:B, 2, FALSE)</f>
        <v>Referral of cases of treatment failure for drug susceptibility testing; enrollment of those with MDR-TB for treatment per WHO guidelines (either short or long regimen)</v>
      </c>
      <c r="G56" s="1" t="s">
        <v>886</v>
      </c>
      <c r="H56" s="1"/>
      <c r="I56" s="1" t="s">
        <v>864</v>
      </c>
      <c r="J56" s="1"/>
      <c r="K56" s="1">
        <v>2836.9473133809042</v>
      </c>
      <c r="L56" s="1">
        <v>1560321.0223594974</v>
      </c>
      <c r="M56" s="1">
        <f>L56</f>
        <v>1560321.0223594974</v>
      </c>
      <c r="N56" s="128">
        <f>(M56*0.7*Salary_CIV_cost_uplift)+(M56*0.3)</f>
        <v>2505087.4521644339</v>
      </c>
      <c r="O56" s="128">
        <f t="shared" si="13"/>
        <v>2660402.8741986291</v>
      </c>
      <c r="P56" s="218">
        <f t="shared" si="3"/>
        <v>4837.0961349065983</v>
      </c>
      <c r="Q56" s="7">
        <f>318/1100</f>
        <v>0.28909090909090907</v>
      </c>
      <c r="R56" s="163">
        <v>0.8</v>
      </c>
      <c r="S56" s="125">
        <f>'Population cible'!C14</f>
        <v>1100</v>
      </c>
      <c r="T56" s="128">
        <f t="shared" si="4"/>
        <v>846008113.99516404</v>
      </c>
      <c r="U56" s="218">
        <f t="shared" si="5"/>
        <v>1538196.5709002982</v>
      </c>
      <c r="V56" s="1"/>
    </row>
    <row r="57" spans="1:24" hidden="1">
      <c r="A57" s="1" t="s">
        <v>2288</v>
      </c>
      <c r="C57" s="1" t="s">
        <v>1300</v>
      </c>
      <c r="D57" s="1" t="s">
        <v>730</v>
      </c>
      <c r="E57" s="149" t="str">
        <f>VLOOKUP(F57, 'FULL REFERENCE'!F:G, 2, FALSE)</f>
        <v>Severe malaria management</v>
      </c>
      <c r="F57" s="1" t="str">
        <f>VLOOKUP(D57, 'FULL REFERENCE'!A:B, 2, FALSE)</f>
        <v>Management of severe malaria, including early detection and provision of rectal artesunate in community settings followed by parenteral artesunate and full-course of ACT</v>
      </c>
      <c r="G57" s="1" t="s">
        <v>865</v>
      </c>
      <c r="H57" s="1" t="s">
        <v>848</v>
      </c>
      <c r="I57" s="1" t="s">
        <v>864</v>
      </c>
      <c r="J57" s="1"/>
      <c r="K57" s="1">
        <v>31.904827005966556</v>
      </c>
      <c r="L57" s="1">
        <v>17547.654853281605</v>
      </c>
      <c r="M57" s="26">
        <v>20000</v>
      </c>
      <c r="N57" s="128">
        <f>M57</f>
        <v>20000</v>
      </c>
      <c r="O57" s="128">
        <f>N57</f>
        <v>20000</v>
      </c>
      <c r="P57" s="218">
        <f t="shared" si="3"/>
        <v>36.363636363636367</v>
      </c>
      <c r="Q57" s="7">
        <v>1</v>
      </c>
      <c r="R57" s="163">
        <v>1</v>
      </c>
      <c r="S57" s="125">
        <f>'Population cible'!C11</f>
        <v>1330685.73</v>
      </c>
      <c r="T57" s="128">
        <f t="shared" si="4"/>
        <v>26613714600</v>
      </c>
      <c r="U57" s="218">
        <f t="shared" si="5"/>
        <v>48388572</v>
      </c>
      <c r="V57" s="1" t="s">
        <v>866</v>
      </c>
    </row>
    <row r="58" spans="1:24" hidden="1">
      <c r="C58" s="1" t="s">
        <v>916</v>
      </c>
      <c r="D58" s="1" t="s">
        <v>625</v>
      </c>
      <c r="E58" s="149" t="str">
        <f>VLOOKUP(F58, 'FULL REFERENCE'!F:G, 2, FALSE)</f>
        <v>Induction of labor post-term</v>
      </c>
      <c r="F58" s="2" t="str">
        <f>VLOOKUP(D58, 'FULL REFERENCE'!A:B, 2, FALSE)</f>
        <v>Induction of labor post-term</v>
      </c>
      <c r="G58" s="1" t="s">
        <v>924</v>
      </c>
      <c r="H58" s="1" t="s">
        <v>847</v>
      </c>
      <c r="I58" s="1" t="s">
        <v>864</v>
      </c>
      <c r="J58" s="1"/>
      <c r="K58" s="1">
        <v>1.6623041356945802</v>
      </c>
      <c r="L58" s="1">
        <v>914.26727463201917</v>
      </c>
      <c r="M58" s="1">
        <f>L58</f>
        <v>914.26727463201917</v>
      </c>
      <c r="N58" s="128">
        <f>(M58*0.7*Salary_CIV_cost_uplift)+(M58*0.3)</f>
        <v>1467.8514515826071</v>
      </c>
      <c r="O58" s="128">
        <f t="shared" ref="O58:O60" si="14">N58*1.062</f>
        <v>1558.8582415807289</v>
      </c>
      <c r="P58" s="218">
        <f t="shared" si="3"/>
        <v>2.8342877119649614</v>
      </c>
      <c r="Q58" s="130">
        <v>0.5</v>
      </c>
      <c r="R58" s="163">
        <v>0.8</v>
      </c>
      <c r="S58" s="125">
        <f>'Population cible'!C4*0.075</f>
        <v>78742.649999999994</v>
      </c>
      <c r="T58" s="128">
        <f t="shared" si="4"/>
        <v>61374314.458203383</v>
      </c>
      <c r="U58" s="218">
        <f t="shared" si="5"/>
        <v>111589.66265127888</v>
      </c>
      <c r="V58" s="1" t="s">
        <v>1972</v>
      </c>
    </row>
    <row r="59" spans="1:24" ht="72" hidden="1">
      <c r="C59" s="1" t="s">
        <v>1332</v>
      </c>
      <c r="D59" s="1" t="s">
        <v>737</v>
      </c>
      <c r="E59" s="149" t="str">
        <f>VLOOKUP(F59, 'FULL REFERENCE'!F:G, 2, FALSE)</f>
        <v>Management of acute coronary syndromes</v>
      </c>
      <c r="F59" s="2" t="str">
        <f>VLOOKUP(D59, 'FULL REFERENCE'!A:B, 2, FALSE)</f>
        <v>Management of acute coronary syndromes with aspirin, unfractionated heparin, and generic thrombolytics (when indicated)</v>
      </c>
      <c r="G59" s="2" t="s">
        <v>1008</v>
      </c>
      <c r="H59" s="16" t="s">
        <v>848</v>
      </c>
      <c r="I59" s="17" t="s">
        <v>1009</v>
      </c>
      <c r="J59" s="2"/>
      <c r="K59" s="2">
        <v>451.40943607930217</v>
      </c>
      <c r="L59" s="2">
        <v>248275.18984361619</v>
      </c>
      <c r="M59" s="1">
        <f>L59</f>
        <v>248275.18984361619</v>
      </c>
      <c r="N59" s="128">
        <f>(M59*0.7*Salary_CIV_cost_uplift)+(M59*0.3)</f>
        <v>398604.55242760188</v>
      </c>
      <c r="O59" s="128">
        <f t="shared" si="14"/>
        <v>423318.03467811324</v>
      </c>
      <c r="P59" s="218">
        <f t="shared" si="3"/>
        <v>769.6691539602059</v>
      </c>
      <c r="Q59" s="141">
        <v>0.2</v>
      </c>
      <c r="R59" s="220">
        <f t="shared" ref="R59:R66" si="15">Q59+increase_in_actual_to_target_coverage_for_NCDs</f>
        <v>0.30000000000000004</v>
      </c>
      <c r="S59" s="124">
        <f>'IHME prevalence'!G34</f>
        <v>169976.50188600001</v>
      </c>
      <c r="T59" s="128">
        <f t="shared" si="4"/>
        <v>14390823743.968426</v>
      </c>
      <c r="U59" s="218">
        <f t="shared" si="5"/>
        <v>26165134.079942591</v>
      </c>
      <c r="V59" s="1" t="s">
        <v>1973</v>
      </c>
      <c r="W59" s="116">
        <v>47692817726.730003</v>
      </c>
      <c r="X59" s="112" t="s">
        <v>1149</v>
      </c>
    </row>
    <row r="60" spans="1:24" ht="72" hidden="1">
      <c r="C60" s="1" t="s">
        <v>1332</v>
      </c>
      <c r="D60" s="1" t="s">
        <v>738</v>
      </c>
      <c r="E60" s="149" t="str">
        <f>VLOOKUP(F60, 'FULL REFERENCE'!F:G, 2, FALSE)</f>
        <v>Acute critical limb ischemia management</v>
      </c>
      <c r="F60" s="2" t="str">
        <f>VLOOKUP(D60, 'FULL REFERENCE'!A:B, 2, FALSE)</f>
        <v>Management of acute critical limb ischemia with unfractionated heparin and revascularization where available, with amputation as a last resort</v>
      </c>
      <c r="G60" s="2" t="s">
        <v>1010</v>
      </c>
      <c r="H60" s="16" t="s">
        <v>848</v>
      </c>
      <c r="I60" s="17" t="s">
        <v>1007</v>
      </c>
      <c r="J60" s="2"/>
      <c r="K60" s="2">
        <v>552.21103030663301</v>
      </c>
      <c r="L60" s="2">
        <v>303716.06666864827</v>
      </c>
      <c r="M60" s="1">
        <f>L60</f>
        <v>303716.06666864827</v>
      </c>
      <c r="N60" s="128">
        <f>(M60*0.7*Salary_CIV_cost_uplift)+(M60*0.3)</f>
        <v>487614.59772030899</v>
      </c>
      <c r="O60" s="128">
        <f t="shared" si="14"/>
        <v>517846.70277896815</v>
      </c>
      <c r="P60" s="218">
        <f t="shared" si="3"/>
        <v>941.53945959812393</v>
      </c>
      <c r="Q60" s="141">
        <v>0.2</v>
      </c>
      <c r="R60" s="220">
        <f t="shared" si="15"/>
        <v>0.30000000000000004</v>
      </c>
      <c r="S60" s="124">
        <f>'IHME prevalence'!G34</f>
        <v>169976.50188600001</v>
      </c>
      <c r="T60" s="128">
        <f t="shared" si="4"/>
        <v>17604354210.313633</v>
      </c>
      <c r="U60" s="218">
        <f t="shared" si="5"/>
        <v>32007916.746024787</v>
      </c>
      <c r="V60" s="1" t="s">
        <v>1039</v>
      </c>
    </row>
    <row r="61" spans="1:24" ht="100.8" hidden="1">
      <c r="A61" s="1" t="s">
        <v>2294</v>
      </c>
      <c r="C61" s="1" t="s">
        <v>1332</v>
      </c>
      <c r="D61" s="1" t="s">
        <v>739</v>
      </c>
      <c r="E61" s="149" t="str">
        <f>VLOOKUP(F61, 'FULL REFERENCE'!F:G, 2, FALSE)</f>
        <v>Acute asthma and COPD management</v>
      </c>
      <c r="F61" s="2" t="str">
        <f>VLOOKUP(D61, 'FULL REFERENCE'!A:B, 2, FALSE)</f>
        <v>Management of acute exacerbations of asthma and COPD using systemic steroids, inhaled beta-agonists, and, if indicated, oral antibiotics and oxygen therapy</v>
      </c>
      <c r="G61" s="2" t="s">
        <v>1011</v>
      </c>
      <c r="H61" s="16" t="s">
        <v>848</v>
      </c>
      <c r="I61" s="18" t="s">
        <v>1012</v>
      </c>
      <c r="J61" s="2"/>
      <c r="K61" s="2">
        <v>106.15677779056554</v>
      </c>
      <c r="L61" s="2">
        <v>58386.227780000001</v>
      </c>
      <c r="M61" s="122">
        <f>P61*550</f>
        <v>58410</v>
      </c>
      <c r="N61" s="128">
        <f>M61</f>
        <v>58410</v>
      </c>
      <c r="O61" s="128">
        <f>N61</f>
        <v>58410</v>
      </c>
      <c r="P61" s="218">
        <v>106.2</v>
      </c>
      <c r="Q61" s="141">
        <v>0.2</v>
      </c>
      <c r="R61" s="220">
        <f t="shared" si="15"/>
        <v>0.30000000000000004</v>
      </c>
      <c r="S61" s="124">
        <f>'IHME prevalence'!G45+'IHME prevalence'!G43</f>
        <v>1300392.735899</v>
      </c>
      <c r="T61" s="128">
        <f t="shared" si="4"/>
        <v>15191187940.772118</v>
      </c>
      <c r="U61" s="218">
        <f t="shared" si="5"/>
        <v>27620341.71049476</v>
      </c>
      <c r="V61" s="1" t="s">
        <v>1040</v>
      </c>
    </row>
    <row r="62" spans="1:24" ht="43.2" hidden="1">
      <c r="C62" s="1" t="s">
        <v>1332</v>
      </c>
      <c r="D62" s="1" t="s">
        <v>740</v>
      </c>
      <c r="E62" s="149" t="str">
        <f>VLOOKUP(F62, 'FULL REFERENCE'!F:G, 2, FALSE)</f>
        <v>Medical management of acute heart failure</v>
      </c>
      <c r="F62" s="2" t="str">
        <f>VLOOKUP(D62, 'FULL REFERENCE'!A:B, 2, FALSE)</f>
        <v>Medical management of acute heart failure</v>
      </c>
      <c r="G62" s="2" t="s">
        <v>1013</v>
      </c>
      <c r="H62" s="16" t="s">
        <v>848</v>
      </c>
      <c r="I62" s="17" t="s">
        <v>1014</v>
      </c>
      <c r="J62" s="2"/>
      <c r="K62" s="2">
        <v>648.16097876466279</v>
      </c>
      <c r="L62" s="2">
        <v>356488.53832056455</v>
      </c>
      <c r="M62" s="2">
        <f>L62</f>
        <v>356488.53832056455</v>
      </c>
      <c r="N62" s="128">
        <f>(M62*0.7*Salary_CIV_cost_uplift)+(M62*0.3)</f>
        <v>572340.53210207354</v>
      </c>
      <c r="O62" s="128">
        <f t="shared" ref="O62:O65" si="16">N62*1.062</f>
        <v>607825.64509240212</v>
      </c>
      <c r="P62" s="218">
        <f t="shared" si="3"/>
        <v>1105.1375365316403</v>
      </c>
      <c r="Q62" s="141">
        <v>0.2</v>
      </c>
      <c r="R62" s="220">
        <f t="shared" si="15"/>
        <v>0.30000000000000004</v>
      </c>
      <c r="S62" s="124">
        <f>'IHME prevalence'!G42</f>
        <v>124217.511449</v>
      </c>
      <c r="T62" s="128">
        <f t="shared" si="4"/>
        <v>15100517805.652256</v>
      </c>
      <c r="U62" s="218">
        <f t="shared" si="5"/>
        <v>27455486.919367738</v>
      </c>
      <c r="V62" s="1" t="s">
        <v>1039</v>
      </c>
    </row>
    <row r="63" spans="1:24" ht="43.2" hidden="1">
      <c r="C63" s="1" t="s">
        <v>1332</v>
      </c>
      <c r="D63" s="1" t="s">
        <v>756</v>
      </c>
      <c r="E63" s="135" t="str">
        <f>VLOOKUP(F63, 'FULL REFERENCE'!F:G, 2, FALSE)</f>
        <v>Bowel obstruction management</v>
      </c>
      <c r="F63" s="2" t="str">
        <f>VLOOKUP(D63, 'FULL REFERENCE'!A:B, 2, FALSE)</f>
        <v>Management of bowel obstruction</v>
      </c>
      <c r="G63" s="2" t="s">
        <v>1049</v>
      </c>
      <c r="H63" s="2"/>
      <c r="I63" s="2" t="s">
        <v>1081</v>
      </c>
      <c r="J63" s="2"/>
      <c r="K63" s="2">
        <v>161.22124895711178</v>
      </c>
      <c r="L63" s="2">
        <v>88671.686926411479</v>
      </c>
      <c r="M63" s="2">
        <f>L63</f>
        <v>88671.686926411479</v>
      </c>
      <c r="N63" s="128">
        <f>(M63*0.7*Salary_CIV_cost_uplift)+(M63*0.3)</f>
        <v>142361.94161231248</v>
      </c>
      <c r="O63" s="128">
        <f t="shared" si="16"/>
        <v>151188.38199227586</v>
      </c>
      <c r="P63" s="218">
        <f t="shared" si="3"/>
        <v>274.88796725868337</v>
      </c>
      <c r="Q63" s="141">
        <v>0.2</v>
      </c>
      <c r="R63" s="220">
        <f t="shared" si="15"/>
        <v>0.30000000000000004</v>
      </c>
      <c r="T63" s="128">
        <f t="shared" si="4"/>
        <v>0</v>
      </c>
      <c r="U63" s="218">
        <f t="shared" si="5"/>
        <v>0</v>
      </c>
      <c r="V63" s="1"/>
    </row>
    <row r="64" spans="1:24" ht="43.2" hidden="1">
      <c r="C64" s="1" t="s">
        <v>1332</v>
      </c>
      <c r="D64" s="1" t="s">
        <v>768</v>
      </c>
      <c r="E64" s="217" t="str">
        <f>VLOOKUP(F64, 'FULL REFERENCE'!F:G, 2, FALSE)</f>
        <v>Secondary prevention of osteoporosis</v>
      </c>
      <c r="F64" s="2" t="str">
        <f>VLOOKUP(D64, 'FULL REFERENCE'!A:B, 2, FALSE)</f>
        <v>Calcium and vitamin D supplementation for secondary prevention of osteoporosis</v>
      </c>
      <c r="G64" s="2" t="s">
        <v>1062</v>
      </c>
      <c r="H64" s="2"/>
      <c r="I64" s="2" t="s">
        <v>1050</v>
      </c>
      <c r="J64" s="2"/>
      <c r="K64" s="2">
        <v>8.7369002659035608</v>
      </c>
      <c r="L64" s="2">
        <v>4805.2951462469582</v>
      </c>
      <c r="M64" s="2">
        <f>L64</f>
        <v>4805.2951462469582</v>
      </c>
      <c r="N64" s="128">
        <f>(M64*0.7*Salary_CIV_cost_uplift)+(M64*0.3)</f>
        <v>7714.8768761742904</v>
      </c>
      <c r="O64" s="128">
        <f t="shared" si="16"/>
        <v>8193.1992424970977</v>
      </c>
      <c r="P64" s="218">
        <f t="shared" si="3"/>
        <v>14.896725895449269</v>
      </c>
      <c r="Q64" s="141">
        <v>0.2</v>
      </c>
      <c r="R64" s="220">
        <f t="shared" si="15"/>
        <v>0.30000000000000004</v>
      </c>
      <c r="T64" s="128">
        <f t="shared" si="4"/>
        <v>0</v>
      </c>
      <c r="U64" s="218">
        <f t="shared" si="5"/>
        <v>0</v>
      </c>
      <c r="V64" s="1"/>
    </row>
    <row r="65" spans="1:22" ht="100.8" hidden="1">
      <c r="C65" s="1" t="s">
        <v>1332</v>
      </c>
      <c r="D65" s="1" t="s">
        <v>769</v>
      </c>
      <c r="E65" s="149" t="str">
        <f>VLOOKUP(F65, 'FULL REFERENCE'!F:G, 2, FALSE)</f>
        <v>Therapy for moderate to severe arthritis</v>
      </c>
      <c r="F65" s="2" t="str">
        <f>VLOOKUP(D65, 'FULL REFERENCE'!A:B, 2, FALSE)</f>
        <v>Combination therapy, including low-dose corticosteroids and generic disease-modifying antirheumatic drugs (including methotrexate), for individuals with moderate to severe rheumatoid arthritis</v>
      </c>
      <c r="G65" s="2" t="s">
        <v>1063</v>
      </c>
      <c r="H65" s="2"/>
      <c r="I65" s="2" t="s">
        <v>1050</v>
      </c>
      <c r="J65" s="2"/>
      <c r="K65" s="2">
        <v>82.547902033943757</v>
      </c>
      <c r="L65" s="2">
        <v>45401.346118669069</v>
      </c>
      <c r="M65" s="2">
        <f>L65</f>
        <v>45401.346118669069</v>
      </c>
      <c r="N65" s="128">
        <f>(M65*0.7*Salary_CIV_cost_uplift)+(M65*0.3)</f>
        <v>72891.629891177596</v>
      </c>
      <c r="O65" s="128">
        <f t="shared" si="16"/>
        <v>77410.910944430609</v>
      </c>
      <c r="P65" s="218">
        <f t="shared" si="3"/>
        <v>140.74711080805565</v>
      </c>
      <c r="Q65" s="141">
        <v>0.2</v>
      </c>
      <c r="R65" s="220">
        <f t="shared" si="15"/>
        <v>0.30000000000000004</v>
      </c>
      <c r="S65" s="125">
        <f>'IHME prevalence'!G55</f>
        <v>19709.6774573</v>
      </c>
      <c r="T65" s="128">
        <f t="shared" si="4"/>
        <v>305148817.27810037</v>
      </c>
      <c r="U65" s="218">
        <f t="shared" si="5"/>
        <v>554816.03141472791</v>
      </c>
      <c r="V65" s="1"/>
    </row>
    <row r="66" spans="1:22" ht="129.6" hidden="1">
      <c r="C66" s="1" t="s">
        <v>1332</v>
      </c>
      <c r="D66" s="1" t="s">
        <v>774</v>
      </c>
      <c r="E66" s="135" t="str">
        <f>VLOOKUP(F66, 'FULL REFERENCE'!F:G, 2, FALSE)</f>
        <v>Universal newborn screening for sickle cell</v>
      </c>
      <c r="F66" s="2" t="str">
        <f>VLOOKUP(D66, 'FULL REFERENCE'!A:B, 2, FALSE)</f>
        <v>In settings where sickle cell disease is a public health concern, universal newborn screening followed by standard prophylaxis against bacterial infections and malaria</v>
      </c>
      <c r="G66" s="2" t="s">
        <v>1068</v>
      </c>
      <c r="H66" s="2" t="s">
        <v>845</v>
      </c>
      <c r="I66" s="2" t="s">
        <v>1050</v>
      </c>
      <c r="J66" s="2"/>
      <c r="K66" s="2"/>
      <c r="L66" s="2">
        <v>4.3740045081721641</v>
      </c>
      <c r="M66" s="6">
        <v>2405.7024794946901</v>
      </c>
      <c r="N66" s="128">
        <f>M66</f>
        <v>2405.7024794946901</v>
      </c>
      <c r="O66" s="128">
        <f>N66</f>
        <v>2405.7024794946901</v>
      </c>
      <c r="P66" s="218">
        <f t="shared" si="3"/>
        <v>4.3740045081721641</v>
      </c>
      <c r="Q66" s="7">
        <v>0.2</v>
      </c>
      <c r="R66" s="220">
        <f t="shared" si="15"/>
        <v>0.30000000000000004</v>
      </c>
      <c r="S66" s="124"/>
      <c r="T66" s="128">
        <f t="shared" si="4"/>
        <v>0</v>
      </c>
      <c r="U66" s="218">
        <f t="shared" si="5"/>
        <v>0</v>
      </c>
      <c r="V66" s="2" t="s">
        <v>1069</v>
      </c>
    </row>
    <row r="67" spans="1:22" hidden="1">
      <c r="C67" s="1" t="s">
        <v>916</v>
      </c>
      <c r="D67" s="1" t="s">
        <v>626</v>
      </c>
      <c r="E67" s="135" t="str">
        <f>VLOOKUP(F67, 'FULL REFERENCE'!F:G, 2, FALSE)</f>
        <v>Jaundice management with phototherapy</v>
      </c>
      <c r="F67" s="2" t="str">
        <f>VLOOKUP(D67, 'FULL REFERENCE'!A:B, 2, FALSE)</f>
        <v>Jaundice management with phototherapy</v>
      </c>
      <c r="G67" s="1" t="s">
        <v>925</v>
      </c>
      <c r="H67" s="1" t="s">
        <v>847</v>
      </c>
      <c r="I67" s="1" t="s">
        <v>864</v>
      </c>
      <c r="J67" s="1"/>
      <c r="K67" s="1">
        <v>33.556172657747275</v>
      </c>
      <c r="L67" s="1">
        <v>18455.894961761001</v>
      </c>
      <c r="M67" s="1">
        <f t="shared" ref="M67:M77" si="17">L67</f>
        <v>18455.894961761001</v>
      </c>
      <c r="N67" s="128">
        <f t="shared" ref="N67:N77" si="18">(M67*0.7*Salary_CIV_cost_uplift)+(M67*0.3)</f>
        <v>29630.84533544154</v>
      </c>
      <c r="O67" s="128">
        <f t="shared" ref="O67:O77" si="19">N67*1.062</f>
        <v>31467.957746238917</v>
      </c>
      <c r="P67" s="218">
        <f t="shared" ref="P67:P130" si="20">O67/550</f>
        <v>57.214468629525307</v>
      </c>
      <c r="Q67" s="130">
        <v>0.2</v>
      </c>
      <c r="R67" s="163">
        <v>0.8</v>
      </c>
      <c r="T67" s="128">
        <f t="shared" ref="T67:T130" si="21">S67*Q67*O67</f>
        <v>0</v>
      </c>
      <c r="U67" s="218">
        <f t="shared" ref="U67:U130" si="22">T67/550</f>
        <v>0</v>
      </c>
      <c r="V67" s="1"/>
    </row>
    <row r="68" spans="1:22" ht="72" hidden="1">
      <c r="C68" s="1" t="s">
        <v>1332</v>
      </c>
      <c r="D68" s="1" t="s">
        <v>790</v>
      </c>
      <c r="E68" s="149" t="str">
        <f>VLOOKUP(F68, 'FULL REFERENCE'!F:G, 2, FALSE)</f>
        <v>Intoxication/poisoning management</v>
      </c>
      <c r="F68" s="2" t="str">
        <f>VLOOKUP(D68, 'FULL REFERENCE'!A:B, 2, FALSE)</f>
        <v xml:space="preserve">Management of intoxication/poisoning syndromes using widely available agents; e.g., activated charcoal, naloxone, bicarbonate, antivenin </v>
      </c>
      <c r="G68" s="2" t="s">
        <v>1080</v>
      </c>
      <c r="H68" s="1"/>
      <c r="I68" s="2" t="s">
        <v>1081</v>
      </c>
      <c r="J68" s="2"/>
      <c r="K68" s="2">
        <v>56.27</v>
      </c>
      <c r="L68" s="2">
        <v>30948.5</v>
      </c>
      <c r="M68" s="1">
        <f t="shared" si="17"/>
        <v>30948.5</v>
      </c>
      <c r="N68" s="128">
        <f t="shared" si="18"/>
        <v>49687.659079330406</v>
      </c>
      <c r="O68" s="128">
        <f t="shared" si="19"/>
        <v>52768.293942248893</v>
      </c>
      <c r="P68" s="218">
        <f t="shared" si="20"/>
        <v>95.942352622270718</v>
      </c>
      <c r="Q68" s="130">
        <v>0.2</v>
      </c>
      <c r="R68" s="220">
        <f>Q68+increase_in_actual_to_target_coverage_for_NCDs</f>
        <v>0.30000000000000004</v>
      </c>
      <c r="S68" s="1">
        <f>'IHME prevalence'!G153</f>
        <v>7520.3942705500003</v>
      </c>
      <c r="T68" s="128">
        <f t="shared" si="21"/>
        <v>79367675.085997373</v>
      </c>
      <c r="U68" s="218">
        <f t="shared" si="22"/>
        <v>144304.86379272249</v>
      </c>
      <c r="V68" s="1"/>
    </row>
    <row r="69" spans="1:22" ht="43.2" hidden="1">
      <c r="C69" s="1" t="s">
        <v>1332</v>
      </c>
      <c r="D69" s="1" t="s">
        <v>799</v>
      </c>
      <c r="E69" s="149" t="str">
        <f>VLOOKUP(F69, 'FULL REFERENCE'!F:G, 2, FALSE)</f>
        <v>Appendectomy</v>
      </c>
      <c r="F69" s="2" t="str">
        <f>VLOOKUP(D69, 'FULL REFERENCE'!A:B, 2, FALSE)</f>
        <v>Appendectomy</v>
      </c>
      <c r="G69" s="2" t="s">
        <v>1087</v>
      </c>
      <c r="H69" s="2"/>
      <c r="I69" s="2" t="s">
        <v>1081</v>
      </c>
      <c r="J69" s="2"/>
      <c r="K69" s="2">
        <v>161.22124895711178</v>
      </c>
      <c r="L69" s="2">
        <v>88671.686926411479</v>
      </c>
      <c r="M69" s="1">
        <f t="shared" si="17"/>
        <v>88671.686926411479</v>
      </c>
      <c r="N69" s="128">
        <f t="shared" si="18"/>
        <v>142361.94161231248</v>
      </c>
      <c r="O69" s="128">
        <f t="shared" si="19"/>
        <v>151188.38199227586</v>
      </c>
      <c r="P69" s="218">
        <f t="shared" si="20"/>
        <v>274.88796725868337</v>
      </c>
      <c r="Q69" s="130">
        <v>0.2</v>
      </c>
      <c r="R69" s="220">
        <f>Q69+increase_in_actual_to_target_coverage_for_NCDs</f>
        <v>0.30000000000000004</v>
      </c>
      <c r="S69" s="125">
        <f>'IHME prevalence'!G126</f>
        <v>2852.4962150900001</v>
      </c>
      <c r="T69" s="128">
        <f t="shared" si="21"/>
        <v>86252857.479709595</v>
      </c>
      <c r="U69" s="218">
        <f t="shared" si="22"/>
        <v>156823.37723583562</v>
      </c>
      <c r="V69" s="1"/>
    </row>
    <row r="70" spans="1:22" ht="43.2" hidden="1">
      <c r="C70" s="1" t="s">
        <v>916</v>
      </c>
      <c r="D70" s="1" t="s">
        <v>800</v>
      </c>
      <c r="E70" s="149" t="str">
        <f>VLOOKUP(F70, 'FULL REFERENCE'!F:G, 2, FALSE)</f>
        <v>Assisted vaginal delivery</v>
      </c>
      <c r="F70" s="2" t="str">
        <f>VLOOKUP(D70, 'FULL REFERENCE'!A:B, 2, FALSE)</f>
        <v>Assisted vaginal delivery using vacuum extraction or forceps</v>
      </c>
      <c r="G70" s="2" t="s">
        <v>1088</v>
      </c>
      <c r="H70" s="2"/>
      <c r="I70" s="2" t="s">
        <v>1081</v>
      </c>
      <c r="J70" s="2"/>
      <c r="K70" s="2">
        <v>161.22124895711178</v>
      </c>
      <c r="L70" s="2">
        <v>88671.686926411479</v>
      </c>
      <c r="M70" s="1">
        <f t="shared" si="17"/>
        <v>88671.686926411479</v>
      </c>
      <c r="N70" s="128">
        <f t="shared" si="18"/>
        <v>142361.94161231248</v>
      </c>
      <c r="O70" s="128">
        <f t="shared" si="19"/>
        <v>151188.38199227586</v>
      </c>
      <c r="P70" s="218">
        <f t="shared" si="20"/>
        <v>274.88796725868337</v>
      </c>
      <c r="Q70" s="130">
        <v>0.2</v>
      </c>
      <c r="R70" s="163">
        <v>0.8</v>
      </c>
      <c r="S70" s="125">
        <f>'IHME prevalence'!E201</f>
        <v>44749.403393400004</v>
      </c>
      <c r="T70" s="128">
        <f t="shared" si="21"/>
        <v>1353117978.8335612</v>
      </c>
      <c r="U70" s="218">
        <f t="shared" si="22"/>
        <v>2460214.5069701113</v>
      </c>
      <c r="V70" s="1"/>
    </row>
    <row r="71" spans="1:22" ht="43.2" hidden="1">
      <c r="C71" s="1" t="s">
        <v>1332</v>
      </c>
      <c r="D71" s="1" t="s">
        <v>801</v>
      </c>
      <c r="E71" s="149" t="str">
        <f>VLOOKUP(F71, 'FULL REFERENCE'!F:G, 2, FALSE)</f>
        <v>Burr hole</v>
      </c>
      <c r="F71" s="2" t="str">
        <f>VLOOKUP(D71, 'FULL REFERENCE'!A:B, 2, FALSE)</f>
        <v>Burr hole to relieve acute elevated intracranial pressure</v>
      </c>
      <c r="G71" s="2" t="s">
        <v>1089</v>
      </c>
      <c r="H71" s="2"/>
      <c r="I71" s="2" t="s">
        <v>1081</v>
      </c>
      <c r="J71" s="2"/>
      <c r="K71" s="2">
        <v>93.432191942566149</v>
      </c>
      <c r="L71" s="2">
        <v>51387.70556841138</v>
      </c>
      <c r="M71" s="1">
        <f t="shared" si="17"/>
        <v>51387.70556841138</v>
      </c>
      <c r="N71" s="128">
        <f t="shared" si="18"/>
        <v>82502.699489546634</v>
      </c>
      <c r="O71" s="128">
        <f t="shared" si="19"/>
        <v>87617.866857898523</v>
      </c>
      <c r="P71" s="218">
        <f t="shared" si="20"/>
        <v>159.3052124689064</v>
      </c>
      <c r="Q71" s="130">
        <v>0.2</v>
      </c>
      <c r="R71" s="220">
        <f t="shared" ref="R71:R77" si="23">Q71+increase_in_actual_to_target_coverage_for_NCDs</f>
        <v>0.30000000000000004</v>
      </c>
      <c r="S71" s="125">
        <v>0</v>
      </c>
      <c r="T71" s="128">
        <f t="shared" si="21"/>
        <v>0</v>
      </c>
      <c r="U71" s="218">
        <f t="shared" si="22"/>
        <v>0</v>
      </c>
      <c r="V71" s="1" t="s">
        <v>1974</v>
      </c>
    </row>
    <row r="72" spans="1:22" ht="43.2" hidden="1">
      <c r="C72" s="1" t="s">
        <v>1332</v>
      </c>
      <c r="D72" s="1" t="s">
        <v>802</v>
      </c>
      <c r="E72" s="149" t="str">
        <f>VLOOKUP(F72, 'FULL REFERENCE'!F:G, 2, FALSE)</f>
        <v>Colostomy</v>
      </c>
      <c r="F72" s="2" t="str">
        <f>VLOOKUP(D72, 'FULL REFERENCE'!A:B, 2, FALSE)</f>
        <v>Colostomy</v>
      </c>
      <c r="G72" s="2" t="s">
        <v>1090</v>
      </c>
      <c r="H72" s="1"/>
      <c r="I72" s="2" t="s">
        <v>1081</v>
      </c>
      <c r="J72" s="2"/>
      <c r="K72" s="2">
        <v>161.22124895711178</v>
      </c>
      <c r="L72" s="2">
        <v>88671.686926411479</v>
      </c>
      <c r="M72" s="1">
        <f t="shared" si="17"/>
        <v>88671.686926411479</v>
      </c>
      <c r="N72" s="128">
        <f t="shared" si="18"/>
        <v>142361.94161231248</v>
      </c>
      <c r="O72" s="128">
        <f t="shared" si="19"/>
        <v>151188.38199227586</v>
      </c>
      <c r="P72" s="218">
        <f t="shared" si="20"/>
        <v>274.88796725868337</v>
      </c>
      <c r="Q72" s="130">
        <v>0.2</v>
      </c>
      <c r="R72" s="220">
        <f t="shared" si="23"/>
        <v>0.30000000000000004</v>
      </c>
      <c r="S72" s="125">
        <f>'IHME prevalence'!G19</f>
        <v>1773.7102306899999</v>
      </c>
      <c r="T72" s="128">
        <f t="shared" si="21"/>
        <v>53632875.980233483</v>
      </c>
      <c r="U72" s="218">
        <f t="shared" si="22"/>
        <v>97514.31996406088</v>
      </c>
      <c r="V72" s="1" t="s">
        <v>1975</v>
      </c>
    </row>
    <row r="73" spans="1:22" ht="43.2" hidden="1">
      <c r="C73" s="1" t="s">
        <v>1332</v>
      </c>
      <c r="D73" s="1" t="s">
        <v>803</v>
      </c>
      <c r="E73" s="135" t="str">
        <f>VLOOKUP(F73, 'FULL REFERENCE'!F:G, 2, FALSE)</f>
        <v>Escharotomy or fasciotomy</v>
      </c>
      <c r="F73" s="2" t="str">
        <f>VLOOKUP(D73, 'FULL REFERENCE'!A:B, 2, FALSE)</f>
        <v>Escharotomy or fasciotomy</v>
      </c>
      <c r="G73" s="2" t="s">
        <v>1091</v>
      </c>
      <c r="H73" s="1"/>
      <c r="I73" s="2" t="s">
        <v>1081</v>
      </c>
      <c r="J73" s="2"/>
      <c r="K73" s="2">
        <v>93.432191942566149</v>
      </c>
      <c r="L73" s="2">
        <v>51387.70556841138</v>
      </c>
      <c r="M73" s="1">
        <f t="shared" si="17"/>
        <v>51387.70556841138</v>
      </c>
      <c r="N73" s="128">
        <f t="shared" si="18"/>
        <v>82502.699489546634</v>
      </c>
      <c r="O73" s="128">
        <f t="shared" si="19"/>
        <v>87617.866857898523</v>
      </c>
      <c r="P73" s="218">
        <f t="shared" si="20"/>
        <v>159.3052124689064</v>
      </c>
      <c r="Q73" s="130">
        <v>0.2</v>
      </c>
      <c r="R73" s="220">
        <f t="shared" si="23"/>
        <v>0.30000000000000004</v>
      </c>
      <c r="S73" s="125">
        <f>'IHME prevalence'!G152</f>
        <v>208335.83605099999</v>
      </c>
      <c r="T73" s="128">
        <f t="shared" si="21"/>
        <v>3650788308.9690986</v>
      </c>
      <c r="U73" s="218">
        <f t="shared" si="22"/>
        <v>6637796.9253983609</v>
      </c>
      <c r="V73" t="s">
        <v>1976</v>
      </c>
    </row>
    <row r="74" spans="1:22" ht="57.6" hidden="1">
      <c r="C74" s="1" t="s">
        <v>1332</v>
      </c>
      <c r="D74" s="1" t="s">
        <v>804</v>
      </c>
      <c r="E74" s="149" t="str">
        <f>VLOOKUP(F74, 'FULL REFERENCE'!F:G, 2, FALSE)</f>
        <v>Care for fractures</v>
      </c>
      <c r="F74" s="2" t="str">
        <f>VLOOKUP(D74, 'FULL REFERENCE'!A:B, 2, FALSE)</f>
        <v>Fracture reduction and placement of external fixator and use of traction for fractures</v>
      </c>
      <c r="G74" s="2" t="s">
        <v>1092</v>
      </c>
      <c r="H74" s="1"/>
      <c r="I74" s="2" t="s">
        <v>1081</v>
      </c>
      <c r="J74" s="2"/>
      <c r="K74" s="2">
        <v>161.22124895711178</v>
      </c>
      <c r="L74" s="2">
        <v>88671.686926411479</v>
      </c>
      <c r="M74" s="1">
        <f t="shared" si="17"/>
        <v>88671.686926411479</v>
      </c>
      <c r="N74" s="128">
        <f t="shared" si="18"/>
        <v>142361.94161231248</v>
      </c>
      <c r="O74" s="128">
        <f t="shared" si="19"/>
        <v>151188.38199227586</v>
      </c>
      <c r="P74" s="218">
        <f t="shared" si="20"/>
        <v>274.88796725868337</v>
      </c>
      <c r="Q74" s="130">
        <v>0.2</v>
      </c>
      <c r="R74" s="220">
        <f t="shared" si="23"/>
        <v>0.30000000000000004</v>
      </c>
      <c r="S74" s="125">
        <f>'IHME prevalence'!G78+'IHME prevalence'!G149+'IHME prevalence'!G158+'IHME prevalence'!G157+'IHME prevalence'!G159</f>
        <v>550712.78406900004</v>
      </c>
      <c r="T74" s="128">
        <f t="shared" si="21"/>
        <v>16652274953.170742</v>
      </c>
      <c r="U74" s="218">
        <f t="shared" si="22"/>
        <v>30276863.55121953</v>
      </c>
    </row>
    <row r="75" spans="1:22" ht="43.2" hidden="1">
      <c r="C75" s="1" t="s">
        <v>1332</v>
      </c>
      <c r="D75" s="1" t="s">
        <v>805</v>
      </c>
      <c r="E75" s="149" t="str">
        <f>VLOOKUP(F75, 'FULL REFERENCE'!F:G, 2, FALSE)</f>
        <v>Hernia repair</v>
      </c>
      <c r="F75" s="2" t="str">
        <f>VLOOKUP(D75, 'FULL REFERENCE'!A:B, 2, FALSE)</f>
        <v>Hernia repair including emergency surgery</v>
      </c>
      <c r="G75" s="2" t="s">
        <v>1093</v>
      </c>
      <c r="H75" s="1"/>
      <c r="I75" s="2" t="s">
        <v>1081</v>
      </c>
      <c r="J75" s="2"/>
      <c r="K75" s="2">
        <v>161.22124895711178</v>
      </c>
      <c r="L75" s="2">
        <v>88671.686926411479</v>
      </c>
      <c r="M75" s="1">
        <f t="shared" si="17"/>
        <v>88671.686926411479</v>
      </c>
      <c r="N75" s="128">
        <f t="shared" si="18"/>
        <v>142361.94161231248</v>
      </c>
      <c r="O75" s="128">
        <f t="shared" si="19"/>
        <v>151188.38199227586</v>
      </c>
      <c r="P75" s="218">
        <f t="shared" si="20"/>
        <v>274.88796725868337</v>
      </c>
      <c r="Q75" s="130">
        <v>0.2</v>
      </c>
      <c r="R75" s="220">
        <f t="shared" si="23"/>
        <v>0.30000000000000004</v>
      </c>
      <c r="S75" s="125">
        <f>'IHME prevalence'!G135</f>
        <v>48452.194237000003</v>
      </c>
      <c r="T75" s="128">
        <f t="shared" si="21"/>
        <v>1465081770.1335006</v>
      </c>
      <c r="U75" s="218">
        <f t="shared" si="22"/>
        <v>2663785.0366063649</v>
      </c>
    </row>
    <row r="76" spans="1:22" ht="43.2" hidden="1">
      <c r="A76" s="1" t="s">
        <v>2297</v>
      </c>
      <c r="C76" s="1" t="s">
        <v>916</v>
      </c>
      <c r="D76" s="1" t="s">
        <v>806</v>
      </c>
      <c r="E76" s="153" t="str">
        <f>VLOOKUP(F76, 'FULL REFERENCE'!F:G, 2, FALSE)</f>
        <v>Hysterectomy</v>
      </c>
      <c r="F76" s="2" t="str">
        <f>VLOOKUP(D76, 'FULL REFERENCE'!A:B, 2, FALSE)</f>
        <v>Hysterectomy for uterine rupture or intractable postpartum hemorrhage</v>
      </c>
      <c r="G76" s="2" t="s">
        <v>1094</v>
      </c>
      <c r="H76" s="1"/>
      <c r="I76" s="2" t="s">
        <v>1081</v>
      </c>
      <c r="J76" s="2"/>
      <c r="K76" s="2">
        <v>161.22124895711178</v>
      </c>
      <c r="L76" s="2">
        <v>88671.686926411479</v>
      </c>
      <c r="M76" s="1">
        <f>M175</f>
        <v>6018.3914400000003</v>
      </c>
      <c r="N76" s="128">
        <f t="shared" si="18"/>
        <v>9662.4967955371158</v>
      </c>
      <c r="O76" s="128">
        <f t="shared" si="19"/>
        <v>10261.571596860418</v>
      </c>
      <c r="P76" s="218">
        <f t="shared" si="20"/>
        <v>18.657402903382579</v>
      </c>
      <c r="Q76" s="130">
        <f>Q175</f>
        <v>0.5</v>
      </c>
      <c r="R76" s="220">
        <f>R175</f>
        <v>0.8</v>
      </c>
      <c r="S76" s="125">
        <f>'IHME prevalence'!E301</f>
        <v>8278.3716438800002</v>
      </c>
      <c r="T76" s="128">
        <f t="shared" si="21"/>
        <v>42474551.664546847</v>
      </c>
      <c r="U76" s="218">
        <f t="shared" si="22"/>
        <v>77226.45757190336</v>
      </c>
    </row>
    <row r="77" spans="1:22" ht="43.2" hidden="1">
      <c r="C77" s="1" t="s">
        <v>1332</v>
      </c>
      <c r="D77" s="1" t="s">
        <v>807</v>
      </c>
      <c r="E77" s="149" t="str">
        <f>VLOOKUP(F77, 'FULL REFERENCE'!F:G, 2, FALSE)</f>
        <v>Irrigation and debridement of open fractures</v>
      </c>
      <c r="F77" s="2" t="str">
        <f>VLOOKUP(D77, 'FULL REFERENCE'!A:B, 2, FALSE)</f>
        <v>Irrigation and debridement of open fractures</v>
      </c>
      <c r="G77" s="2" t="s">
        <v>1095</v>
      </c>
      <c r="H77" s="1"/>
      <c r="I77" s="2" t="s">
        <v>1081</v>
      </c>
      <c r="J77" s="2"/>
      <c r="K77" s="2">
        <v>161.22124895711178</v>
      </c>
      <c r="L77" s="2">
        <v>88671.686926411479</v>
      </c>
      <c r="M77" s="1">
        <f t="shared" si="17"/>
        <v>88671.686926411479</v>
      </c>
      <c r="N77" s="128">
        <f t="shared" si="18"/>
        <v>142361.94161231248</v>
      </c>
      <c r="O77" s="128">
        <f t="shared" si="19"/>
        <v>151188.38199227586</v>
      </c>
      <c r="P77" s="218">
        <f t="shared" si="20"/>
        <v>274.88796725868337</v>
      </c>
      <c r="Q77" s="130">
        <v>0.2</v>
      </c>
      <c r="R77" s="220">
        <f t="shared" si="23"/>
        <v>0.30000000000000004</v>
      </c>
      <c r="S77" s="125">
        <f>S74</f>
        <v>550712.78406900004</v>
      </c>
      <c r="T77" s="128">
        <f t="shared" si="21"/>
        <v>16652274953.170742</v>
      </c>
      <c r="U77" s="218">
        <f t="shared" si="22"/>
        <v>30276863.55121953</v>
      </c>
    </row>
    <row r="78" spans="1:22" ht="28.8" hidden="1">
      <c r="C78" s="1" t="s">
        <v>916</v>
      </c>
      <c r="D78" s="1" t="s">
        <v>627</v>
      </c>
      <c r="E78" s="149" t="str">
        <f>VLOOKUP(F78, 'FULL REFERENCE'!F:G, 2, FALSE)</f>
        <v>Eclampsia management</v>
      </c>
      <c r="F78" s="2" t="str">
        <f>VLOOKUP(D78, 'FULL REFERENCE'!A:B, 2, FALSE)</f>
        <v>Management of eclampsia with magnesium sulfate, including initial stabilization at health centers</v>
      </c>
      <c r="G78" s="1" t="s">
        <v>926</v>
      </c>
      <c r="H78" s="1" t="s">
        <v>847</v>
      </c>
      <c r="I78" s="1" t="s">
        <v>864</v>
      </c>
      <c r="J78" s="1" t="s">
        <v>927</v>
      </c>
      <c r="K78" s="1">
        <v>39.892313689077326</v>
      </c>
      <c r="L78" s="1">
        <v>21940.772528992529</v>
      </c>
      <c r="M78" s="26">
        <v>2537.0844699999998</v>
      </c>
      <c r="N78" s="128">
        <f>M78</f>
        <v>2537.0844699999998</v>
      </c>
      <c r="O78" s="128">
        <f>N78</f>
        <v>2537.0844699999998</v>
      </c>
      <c r="P78" s="218">
        <f t="shared" si="20"/>
        <v>4.6128808545454545</v>
      </c>
      <c r="Q78" s="8">
        <v>0.05</v>
      </c>
      <c r="R78" s="163">
        <v>0.8</v>
      </c>
      <c r="S78" s="125">
        <f>'IHME prevalence'!E303</f>
        <v>26175.682045000001</v>
      </c>
      <c r="T78" s="128">
        <f t="shared" si="21"/>
        <v>3320495.8204013673</v>
      </c>
      <c r="U78" s="218">
        <f t="shared" si="22"/>
        <v>6037.2651280024857</v>
      </c>
      <c r="V78" s="1" t="s">
        <v>928</v>
      </c>
    </row>
    <row r="79" spans="1:22" ht="43.2" hidden="1">
      <c r="C79" s="1" t="s">
        <v>1332</v>
      </c>
      <c r="D79" s="1" t="s">
        <v>808</v>
      </c>
      <c r="E79" s="150" t="str">
        <f>VLOOKUP(F79, 'FULL REFERENCE'!F:G, 2, FALSE)</f>
        <v>Osteomyelitis management</v>
      </c>
      <c r="F79" s="2" t="str">
        <f>VLOOKUP(D79, 'FULL REFERENCE'!A:B, 2, FALSE)</f>
        <v>Management of osteomyelitis, including surgical debridement for refractory cases</v>
      </c>
      <c r="G79" s="2" t="s">
        <v>1096</v>
      </c>
      <c r="H79" s="1"/>
      <c r="I79" s="2" t="s">
        <v>1081</v>
      </c>
      <c r="J79" s="2"/>
      <c r="K79" s="2">
        <v>161.22124895711178</v>
      </c>
      <c r="L79" s="2">
        <v>88671.686926411479</v>
      </c>
      <c r="M79" s="1">
        <f t="shared" ref="M79:M87" si="24">L79</f>
        <v>88671.686926411479</v>
      </c>
      <c r="N79" s="128">
        <f t="shared" ref="N79:N87" si="25">(M79*0.7*Salary_CIV_cost_uplift)+(M79*0.3)</f>
        <v>142361.94161231248</v>
      </c>
      <c r="O79" s="128">
        <f t="shared" ref="O79:O87" si="26">N79*1.062</f>
        <v>151188.38199227586</v>
      </c>
      <c r="P79" s="218">
        <f t="shared" si="20"/>
        <v>274.88796725868337</v>
      </c>
      <c r="Q79" s="130">
        <v>0.2</v>
      </c>
      <c r="R79" s="220">
        <f t="shared" ref="R79:R87" si="27">Q79+increase_in_actual_to_target_coverage_for_NCDs</f>
        <v>0.30000000000000004</v>
      </c>
      <c r="S79" s="125">
        <f>'IHME prevalence'!E383</f>
        <v>346305.95595700003</v>
      </c>
      <c r="T79" s="128">
        <f t="shared" si="21"/>
        <v>10471487431.085436</v>
      </c>
      <c r="U79" s="218">
        <f t="shared" si="22"/>
        <v>19039068.056518976</v>
      </c>
      <c r="V79" s="1" t="s">
        <v>1978</v>
      </c>
    </row>
    <row r="80" spans="1:22" ht="43.2" hidden="1">
      <c r="C80" s="1" t="s">
        <v>1332</v>
      </c>
      <c r="D80" s="1" t="s">
        <v>809</v>
      </c>
      <c r="E80" s="135" t="str">
        <f>VLOOKUP(F80, 'FULL REFERENCE'!F:G, 2, FALSE)</f>
        <v>Septic arthritis management</v>
      </c>
      <c r="F80" s="2" t="str">
        <f>VLOOKUP(D80, 'FULL REFERENCE'!A:B, 2, FALSE)</f>
        <v>Management of septic arthritis</v>
      </c>
      <c r="G80" s="2" t="s">
        <v>1097</v>
      </c>
      <c r="H80" s="1"/>
      <c r="I80" s="2" t="s">
        <v>1081</v>
      </c>
      <c r="J80" s="2"/>
      <c r="K80" s="2">
        <v>161.22124895711178</v>
      </c>
      <c r="L80" s="2">
        <v>88671.686926411479</v>
      </c>
      <c r="M80" s="1">
        <f t="shared" si="24"/>
        <v>88671.686926411479</v>
      </c>
      <c r="N80" s="128">
        <f t="shared" si="25"/>
        <v>142361.94161231248</v>
      </c>
      <c r="O80" s="128">
        <f t="shared" si="26"/>
        <v>151188.38199227586</v>
      </c>
      <c r="P80" s="218">
        <f t="shared" si="20"/>
        <v>274.88796725868337</v>
      </c>
      <c r="Q80" s="130">
        <v>0.2</v>
      </c>
      <c r="R80" s="220">
        <f t="shared" si="27"/>
        <v>0.30000000000000004</v>
      </c>
      <c r="S80" s="125">
        <f>S79</f>
        <v>346305.95595700003</v>
      </c>
      <c r="T80" s="128">
        <f t="shared" si="21"/>
        <v>10471487431.085436</v>
      </c>
      <c r="U80" s="218">
        <f t="shared" si="22"/>
        <v>19039068.056518976</v>
      </c>
      <c r="V80" s="1" t="s">
        <v>1978</v>
      </c>
    </row>
    <row r="81" spans="1:24" ht="43.2" hidden="1">
      <c r="C81" s="1" t="s">
        <v>1332</v>
      </c>
      <c r="D81" s="1" t="s">
        <v>810</v>
      </c>
      <c r="E81" s="149" t="str">
        <f>VLOOKUP(F81, 'FULL REFERENCE'!F:G, 2, FALSE)</f>
        <v>Relief of urinary obstruction</v>
      </c>
      <c r="F81" s="2" t="str">
        <f>VLOOKUP(D81, 'FULL REFERENCE'!A:B, 2, FALSE)</f>
        <v>Relief of urinary obstruction by catheterization or suprapubic cystostomy</v>
      </c>
      <c r="G81" s="2" t="s">
        <v>1098</v>
      </c>
      <c r="H81" s="1"/>
      <c r="I81" s="2" t="s">
        <v>1081</v>
      </c>
      <c r="J81" s="2"/>
      <c r="K81" s="2">
        <v>161.22124895711178</v>
      </c>
      <c r="L81" s="2">
        <v>88671.686926411479</v>
      </c>
      <c r="M81" s="1">
        <f t="shared" si="24"/>
        <v>88671.686926411479</v>
      </c>
      <c r="N81" s="128">
        <f t="shared" si="25"/>
        <v>142361.94161231248</v>
      </c>
      <c r="O81" s="128">
        <f t="shared" si="26"/>
        <v>151188.38199227586</v>
      </c>
      <c r="P81" s="218">
        <f t="shared" si="20"/>
        <v>274.88796725868337</v>
      </c>
      <c r="Q81" s="130">
        <v>0.2</v>
      </c>
      <c r="R81" s="220">
        <f t="shared" si="27"/>
        <v>0.30000000000000004</v>
      </c>
      <c r="S81" s="125">
        <f>SUM('IHME prevalence'!$E$425:$E$427)</f>
        <v>189855.67240091</v>
      </c>
      <c r="T81" s="128">
        <f t="shared" si="21"/>
        <v>5740794384.4698334</v>
      </c>
      <c r="U81" s="218">
        <f t="shared" si="22"/>
        <v>10437807.971763333</v>
      </c>
    </row>
    <row r="82" spans="1:24" ht="43.2" hidden="1">
      <c r="C82" s="1" t="s">
        <v>1332</v>
      </c>
      <c r="D82" s="1" t="s">
        <v>811</v>
      </c>
      <c r="E82" s="149" t="str">
        <f>VLOOKUP(F82, 'FULL REFERENCE'!F:G, 2, FALSE)</f>
        <v>Removal of gallbladder</v>
      </c>
      <c r="F82" s="2" t="str">
        <f>VLOOKUP(D82, 'FULL REFERENCE'!A:B, 2, FALSE)</f>
        <v>Removal of gallbladder including  emergency surgery</v>
      </c>
      <c r="G82" s="2" t="s">
        <v>1099</v>
      </c>
      <c r="H82" s="1"/>
      <c r="I82" s="2" t="s">
        <v>1081</v>
      </c>
      <c r="J82" s="2"/>
      <c r="K82" s="2">
        <v>93.432191942566149</v>
      </c>
      <c r="L82" s="2">
        <v>51387.70556841138</v>
      </c>
      <c r="M82" s="1">
        <f t="shared" si="24"/>
        <v>51387.70556841138</v>
      </c>
      <c r="N82" s="128">
        <f t="shared" si="25"/>
        <v>82502.699489546634</v>
      </c>
      <c r="O82" s="128">
        <f t="shared" si="26"/>
        <v>87617.866857898523</v>
      </c>
      <c r="P82" s="218">
        <f t="shared" si="20"/>
        <v>159.3052124689064</v>
      </c>
      <c r="Q82" s="130">
        <v>0.2</v>
      </c>
      <c r="R82" s="220">
        <f t="shared" si="27"/>
        <v>0.30000000000000004</v>
      </c>
      <c r="S82" s="125">
        <f>'IHME prevalence'!E253+'IHME prevalence'!E286</f>
        <v>19445.281335894</v>
      </c>
      <c r="T82" s="128">
        <f t="shared" si="21"/>
        <v>340750814.22054797</v>
      </c>
      <c r="U82" s="218">
        <f t="shared" si="22"/>
        <v>619546.93494645087</v>
      </c>
    </row>
    <row r="83" spans="1:24" ht="43.2" hidden="1">
      <c r="C83" s="1" t="s">
        <v>1332</v>
      </c>
      <c r="D83" s="1" t="s">
        <v>812</v>
      </c>
      <c r="E83" s="149" t="str">
        <f>VLOOKUP(F83, 'FULL REFERENCE'!F:G, 2, FALSE)</f>
        <v>Repair of perforations</v>
      </c>
      <c r="F83" s="2" t="str">
        <f>VLOOKUP(D83, 'FULL REFERENCE'!A:B, 2, FALSE)</f>
        <v>Repair of perforations (for example, perforated peptic ulcer, typhoid ileal perforation)</v>
      </c>
      <c r="G83" s="2" t="s">
        <v>1100</v>
      </c>
      <c r="H83" s="1"/>
      <c r="I83" s="2" t="s">
        <v>1081</v>
      </c>
      <c r="J83" s="2"/>
      <c r="K83" s="2">
        <v>161.22124895711178</v>
      </c>
      <c r="L83" s="2">
        <v>88671.686926411479</v>
      </c>
      <c r="M83" s="1">
        <f t="shared" si="24"/>
        <v>88671.686926411479</v>
      </c>
      <c r="N83" s="128">
        <f t="shared" si="25"/>
        <v>142361.94161231248</v>
      </c>
      <c r="O83" s="128">
        <f t="shared" si="26"/>
        <v>151188.38199227586</v>
      </c>
      <c r="P83" s="218">
        <f t="shared" si="20"/>
        <v>274.88796725868337</v>
      </c>
      <c r="Q83" s="130">
        <v>0.2</v>
      </c>
      <c r="R83" s="220">
        <f t="shared" si="27"/>
        <v>0.30000000000000004</v>
      </c>
      <c r="S83" s="125">
        <f>'IHME prevalence'!E246</f>
        <v>43092.342758400002</v>
      </c>
      <c r="T83" s="128">
        <f t="shared" si="21"/>
        <v>1303012315.5798123</v>
      </c>
      <c r="U83" s="218">
        <f t="shared" si="22"/>
        <v>2369113.3010542043</v>
      </c>
    </row>
    <row r="84" spans="1:24" ht="43.2" hidden="1">
      <c r="C84" s="1" t="s">
        <v>1332</v>
      </c>
      <c r="D84" s="1" t="s">
        <v>814</v>
      </c>
      <c r="E84" s="135" t="str">
        <f>VLOOKUP(F84, 'FULL REFERENCE'!F:G, 2, FALSE)</f>
        <v>Basic skin grafting</v>
      </c>
      <c r="F84" s="2" t="str">
        <f>VLOOKUP(D84, 'FULL REFERENCE'!A:B, 2, FALSE)</f>
        <v>Basic skin grafting</v>
      </c>
      <c r="G84" s="2" t="s">
        <v>1101</v>
      </c>
      <c r="H84" s="1"/>
      <c r="I84" s="2" t="s">
        <v>1081</v>
      </c>
      <c r="J84" s="2"/>
      <c r="K84" s="2">
        <v>161.22124895711178</v>
      </c>
      <c r="L84" s="2">
        <v>88671.686926411479</v>
      </c>
      <c r="M84" s="1">
        <f t="shared" si="24"/>
        <v>88671.686926411479</v>
      </c>
      <c r="N84" s="128">
        <f t="shared" si="25"/>
        <v>142361.94161231248</v>
      </c>
      <c r="O84" s="128">
        <f t="shared" si="26"/>
        <v>151188.38199227586</v>
      </c>
      <c r="P84" s="218">
        <f t="shared" si="20"/>
        <v>274.88796725868337</v>
      </c>
      <c r="Q84" s="130">
        <v>0.2</v>
      </c>
      <c r="R84" s="220">
        <f t="shared" si="27"/>
        <v>0.30000000000000004</v>
      </c>
      <c r="S84" s="125">
        <f>S73</f>
        <v>208335.83605099999</v>
      </c>
      <c r="T84" s="128">
        <f t="shared" si="21"/>
        <v>6299591592.7117491</v>
      </c>
      <c r="U84" s="218">
        <f t="shared" si="22"/>
        <v>11453802.895839544</v>
      </c>
      <c r="V84" t="s">
        <v>1976</v>
      </c>
    </row>
    <row r="85" spans="1:24" ht="43.2" hidden="1">
      <c r="C85" s="1" t="s">
        <v>1332</v>
      </c>
      <c r="D85" s="1" t="s">
        <v>815</v>
      </c>
      <c r="E85" s="135" t="str">
        <f>VLOOKUP(F85, 'FULL REFERENCE'!F:G, 2, FALSE)</f>
        <v>Surgery for filarial hydrocele</v>
      </c>
      <c r="F85" s="2" t="str">
        <f>VLOOKUP(D85, 'FULL REFERENCE'!A:B, 2, FALSE)</f>
        <v>Surgery for filarial hydrocele</v>
      </c>
      <c r="G85" s="2" t="s">
        <v>1102</v>
      </c>
      <c r="H85" s="1"/>
      <c r="I85" s="2" t="s">
        <v>1081</v>
      </c>
      <c r="J85" s="2"/>
      <c r="K85" s="2">
        <v>161.22124895711178</v>
      </c>
      <c r="L85" s="2">
        <v>88671.686926411479</v>
      </c>
      <c r="M85" s="1">
        <f t="shared" si="24"/>
        <v>88671.686926411479</v>
      </c>
      <c r="N85" s="128">
        <f t="shared" si="25"/>
        <v>142361.94161231248</v>
      </c>
      <c r="O85" s="128">
        <f t="shared" si="26"/>
        <v>151188.38199227586</v>
      </c>
      <c r="P85" s="218">
        <f t="shared" si="20"/>
        <v>274.88796725868337</v>
      </c>
      <c r="Q85" s="130">
        <v>0.2</v>
      </c>
      <c r="R85" s="220">
        <f t="shared" si="27"/>
        <v>0.30000000000000004</v>
      </c>
      <c r="S85" s="125">
        <f>'IHME prevalence'!E236</f>
        <v>219269.62723700001</v>
      </c>
      <c r="T85" s="128">
        <f t="shared" si="21"/>
        <v>6630204032.4022989</v>
      </c>
      <c r="U85" s="218">
        <f t="shared" si="22"/>
        <v>12054916.422549635</v>
      </c>
      <c r="V85" t="s">
        <v>1979</v>
      </c>
    </row>
    <row r="86" spans="1:24" ht="43.2" hidden="1">
      <c r="C86" s="1" t="s">
        <v>1332</v>
      </c>
      <c r="D86" s="1" t="s">
        <v>816</v>
      </c>
      <c r="E86" s="149" t="str">
        <f>VLOOKUP(F86, 'FULL REFERENCE'!F:G, 2, FALSE)</f>
        <v>Trauma laparotomy</v>
      </c>
      <c r="F86" s="2" t="str">
        <f>VLOOKUP(D86, 'FULL REFERENCE'!A:B, 2, FALSE)</f>
        <v>Trauma laparotomy</v>
      </c>
      <c r="G86" s="2" t="s">
        <v>1103</v>
      </c>
      <c r="H86" s="1"/>
      <c r="I86" s="2" t="s">
        <v>1081</v>
      </c>
      <c r="J86" s="2"/>
      <c r="K86" s="2">
        <v>161.22124895711178</v>
      </c>
      <c r="L86" s="2">
        <v>88671.686926411479</v>
      </c>
      <c r="M86" s="1">
        <f t="shared" si="24"/>
        <v>88671.686926411479</v>
      </c>
      <c r="N86" s="128">
        <f t="shared" si="25"/>
        <v>142361.94161231248</v>
      </c>
      <c r="O86" s="128">
        <f t="shared" si="26"/>
        <v>151188.38199227586</v>
      </c>
      <c r="P86" s="218">
        <f t="shared" si="20"/>
        <v>274.88796725868337</v>
      </c>
      <c r="Q86" s="130">
        <v>0.2</v>
      </c>
      <c r="R86" s="220">
        <f t="shared" si="27"/>
        <v>0.30000000000000004</v>
      </c>
      <c r="T86" s="128">
        <f t="shared" si="21"/>
        <v>0</v>
      </c>
      <c r="U86" s="218">
        <f t="shared" si="22"/>
        <v>0</v>
      </c>
      <c r="V86" t="s">
        <v>1980</v>
      </c>
      <c r="W86" s="154">
        <v>21000272754.25</v>
      </c>
      <c r="X86" s="112" t="s">
        <v>1150</v>
      </c>
    </row>
    <row r="87" spans="1:24" ht="43.2" hidden="1">
      <c r="C87" s="1" t="s">
        <v>1332</v>
      </c>
      <c r="D87" s="1" t="s">
        <v>817</v>
      </c>
      <c r="E87" s="149" t="str">
        <f>VLOOKUP(F87, 'FULL REFERENCE'!F:G, 2, FALSE)</f>
        <v>Trauma-related amputations</v>
      </c>
      <c r="F87" s="2" t="str">
        <f>VLOOKUP(D87, 'FULL REFERENCE'!A:B, 2, FALSE)</f>
        <v>Trauma-related amputations</v>
      </c>
      <c r="G87" s="2" t="s">
        <v>1104</v>
      </c>
      <c r="H87" s="1"/>
      <c r="I87" s="2" t="s">
        <v>1081</v>
      </c>
      <c r="J87" s="2"/>
      <c r="K87" s="2">
        <v>161.22124895711178</v>
      </c>
      <c r="L87" s="2">
        <v>88671.686926411479</v>
      </c>
      <c r="M87" s="1">
        <f t="shared" si="24"/>
        <v>88671.686926411479</v>
      </c>
      <c r="N87" s="128">
        <f t="shared" si="25"/>
        <v>142361.94161231248</v>
      </c>
      <c r="O87" s="128">
        <f t="shared" si="26"/>
        <v>151188.38199227586</v>
      </c>
      <c r="P87" s="218">
        <f t="shared" si="20"/>
        <v>274.88796725868337</v>
      </c>
      <c r="Q87" s="130">
        <v>0.2</v>
      </c>
      <c r="R87" s="220">
        <f t="shared" si="27"/>
        <v>0.30000000000000004</v>
      </c>
      <c r="T87" s="128">
        <f t="shared" si="21"/>
        <v>0</v>
      </c>
      <c r="U87" s="218">
        <f t="shared" si="22"/>
        <v>0</v>
      </c>
      <c r="V87" s="1" t="s">
        <v>1980</v>
      </c>
    </row>
    <row r="88" spans="1:24" ht="28.8" hidden="1">
      <c r="C88" s="1" t="s">
        <v>916</v>
      </c>
      <c r="D88" s="1" t="s">
        <v>628</v>
      </c>
      <c r="E88" s="149" t="str">
        <f>VLOOKUP(F88, 'FULL REFERENCE'!F:G, 2, FALSE)</f>
        <v>Maternal sepsis management</v>
      </c>
      <c r="F88" s="2" t="str">
        <f>VLOOKUP(D88, 'FULL REFERENCE'!A:B, 2, FALSE)</f>
        <v>Management of maternal sepsis, including early detection at health centers</v>
      </c>
      <c r="G88" s="1" t="s">
        <v>929</v>
      </c>
      <c r="H88" s="1" t="s">
        <v>847</v>
      </c>
      <c r="I88" s="1" t="s">
        <v>864</v>
      </c>
      <c r="J88" s="1"/>
      <c r="K88" s="1">
        <v>67.20102998995668</v>
      </c>
      <c r="L88" s="1">
        <v>36960.566494476174</v>
      </c>
      <c r="M88" s="26">
        <v>40396.992819999999</v>
      </c>
      <c r="N88" s="128">
        <f>M88</f>
        <v>40396.992819999999</v>
      </c>
      <c r="O88" s="128">
        <f>N88</f>
        <v>40396.992819999999</v>
      </c>
      <c r="P88" s="218">
        <f t="shared" si="20"/>
        <v>73.44907785454545</v>
      </c>
      <c r="Q88" s="7">
        <v>0.24</v>
      </c>
      <c r="R88" s="163">
        <v>0.8</v>
      </c>
      <c r="S88" s="125">
        <f>'IHME prevalence'!E302</f>
        <v>30146.068535400002</v>
      </c>
      <c r="T88" s="128">
        <f t="shared" si="21"/>
        <v>292274523.40218765</v>
      </c>
      <c r="U88" s="218">
        <f t="shared" si="22"/>
        <v>531408.2243676139</v>
      </c>
      <c r="V88" t="s">
        <v>922</v>
      </c>
    </row>
    <row r="89" spans="1:24" ht="43.2" hidden="1">
      <c r="C89" s="1" t="s">
        <v>1332</v>
      </c>
      <c r="D89" s="1" t="s">
        <v>818</v>
      </c>
      <c r="E89" s="149" t="str">
        <f>VLOOKUP(F89, 'FULL REFERENCE'!F:G, 2, FALSE)</f>
        <v>Tube thoracostomy</v>
      </c>
      <c r="F89" s="2" t="str">
        <f>VLOOKUP(D89, 'FULL REFERENCE'!A:B, 2, FALSE)</f>
        <v>Tube thoracostomy</v>
      </c>
      <c r="G89" s="2" t="s">
        <v>1105</v>
      </c>
      <c r="H89" s="1"/>
      <c r="I89" s="2" t="s">
        <v>1081</v>
      </c>
      <c r="J89" s="2"/>
      <c r="K89" s="2">
        <v>161.22124895711178</v>
      </c>
      <c r="L89" s="2">
        <v>88671.686926411479</v>
      </c>
      <c r="M89" s="1">
        <f t="shared" ref="M89:M96" si="28">L89</f>
        <v>88671.686926411479</v>
      </c>
      <c r="N89" s="128">
        <f t="shared" ref="N89:N96" si="29">(M89*0.7*Salary_CIV_cost_uplift)+(M89*0.3)</f>
        <v>142361.94161231248</v>
      </c>
      <c r="O89" s="128">
        <f t="shared" ref="O89:O96" si="30">N89*1.062</f>
        <v>151188.38199227586</v>
      </c>
      <c r="P89" s="218">
        <f t="shared" si="20"/>
        <v>274.88796725868337</v>
      </c>
      <c r="Q89" s="130">
        <v>0.2</v>
      </c>
      <c r="R89" s="220">
        <f>Q89+increase_in_actual_to_target_coverage_for_NCDs</f>
        <v>0.30000000000000004</v>
      </c>
      <c r="S89" s="125">
        <f>'IHME prevalence'!E277</f>
        <v>624.00779202199999</v>
      </c>
      <c r="T89" s="128">
        <f t="shared" si="21"/>
        <v>18868545.685275752</v>
      </c>
      <c r="U89" s="218">
        <f t="shared" si="22"/>
        <v>34306.446700501365</v>
      </c>
    </row>
    <row r="90" spans="1:24" ht="57.6" hidden="1">
      <c r="C90" s="1" t="s">
        <v>1332</v>
      </c>
      <c r="D90" s="1" t="s">
        <v>791</v>
      </c>
      <c r="E90" s="149" t="str">
        <f>VLOOKUP(F90, 'FULL REFERENCE'!F:G, 2, FALSE)</f>
        <v>Support in the use of assistive products</v>
      </c>
      <c r="F90" s="2" t="str">
        <f>VLOOKUP(D90, 'FULL REFERENCE'!A:B, 2, FALSE)</f>
        <v xml:space="preserve">Assessment, provision and training in the use of assistive products, including assistive devices for hearing </v>
      </c>
      <c r="G90" s="2" t="s">
        <v>1082</v>
      </c>
      <c r="H90" s="1"/>
      <c r="I90" s="2" t="s">
        <v>1081</v>
      </c>
      <c r="J90" s="2"/>
      <c r="K90" s="2">
        <v>5.2529935346168033</v>
      </c>
      <c r="L90" s="2">
        <v>2889.1464440392419</v>
      </c>
      <c r="M90" s="1">
        <f t="shared" si="28"/>
        <v>2889.1464440392419</v>
      </c>
      <c r="N90" s="128">
        <f t="shared" si="29"/>
        <v>4638.5098968183147</v>
      </c>
      <c r="O90" s="128">
        <f t="shared" si="30"/>
        <v>4926.0975104210502</v>
      </c>
      <c r="P90" s="218">
        <f t="shared" si="20"/>
        <v>8.9565409280382724</v>
      </c>
      <c r="Q90" s="130">
        <v>0.2</v>
      </c>
      <c r="R90" s="220">
        <f>Q90+increase_in_actual_to_target_coverage_for_NCDs</f>
        <v>0.30000000000000004</v>
      </c>
      <c r="S90" s="125">
        <f>'IHME prevalence'!G66</f>
        <v>3339250.4569100002</v>
      </c>
      <c r="T90" s="128">
        <f t="shared" si="21"/>
        <v>3289894672.4913416</v>
      </c>
      <c r="U90" s="218">
        <f t="shared" si="22"/>
        <v>5981626.6772569846</v>
      </c>
    </row>
    <row r="91" spans="1:24" ht="43.2" hidden="1">
      <c r="C91" s="1" t="s">
        <v>1332</v>
      </c>
      <c r="D91" s="1" t="s">
        <v>792</v>
      </c>
      <c r="E91" s="149" t="str">
        <f>VLOOKUP(F91, 'FULL REFERENCE'!F:G, 2, FALSE)</f>
        <v>Compression therapy</v>
      </c>
      <c r="F91" s="2" t="str">
        <f>VLOOKUP(D91, 'FULL REFERENCE'!A:B, 2, FALSE)</f>
        <v>Compression therapy for amputations, burns, and vascular or lymphatic disorders</v>
      </c>
      <c r="G91" s="2" t="s">
        <v>541</v>
      </c>
      <c r="H91" s="1"/>
      <c r="I91" s="2" t="s">
        <v>1081</v>
      </c>
      <c r="J91" s="2"/>
      <c r="K91" s="2">
        <v>5.2529935346168033</v>
      </c>
      <c r="L91" s="2">
        <v>2889.1464440392419</v>
      </c>
      <c r="M91" s="1">
        <f t="shared" si="28"/>
        <v>2889.1464440392419</v>
      </c>
      <c r="N91" s="128">
        <f t="shared" si="29"/>
        <v>4638.5098968183147</v>
      </c>
      <c r="O91" s="128">
        <f t="shared" si="30"/>
        <v>4926.0975104210502</v>
      </c>
      <c r="P91" s="218">
        <f t="shared" si="20"/>
        <v>8.9565409280382724</v>
      </c>
      <c r="Q91" s="130">
        <v>0.2</v>
      </c>
      <c r="R91" s="220">
        <f>Q91+increase_in_actual_to_target_coverage_for_NCDs</f>
        <v>0.30000000000000004</v>
      </c>
      <c r="S91" s="125">
        <f>S85+S73</f>
        <v>427605.46328799997</v>
      </c>
      <c r="T91" s="128">
        <f t="shared" si="21"/>
        <v>421285241.62909132</v>
      </c>
      <c r="U91" s="218">
        <f t="shared" si="22"/>
        <v>765973.16659834783</v>
      </c>
    </row>
    <row r="92" spans="1:24" ht="43.2" hidden="1">
      <c r="C92" s="1" t="s">
        <v>1332</v>
      </c>
      <c r="D92" s="1" t="s">
        <v>794</v>
      </c>
      <c r="E92" s="149" t="str">
        <f>VLOOKUP(F92, 'FULL REFERENCE'!F:G, 2, FALSE)</f>
        <v>Fabrication of prosthetics, orthotics, and splints</v>
      </c>
      <c r="F92" s="2" t="str">
        <f>VLOOKUP(D92, 'FULL REFERENCE'!A:B, 2, FALSE)</f>
        <v>Fabrication, fitting, and training in the use of prosthetics, orthotics, and splints</v>
      </c>
      <c r="G92" s="2" t="s">
        <v>1083</v>
      </c>
      <c r="H92" s="1"/>
      <c r="I92" s="2" t="s">
        <v>1081</v>
      </c>
      <c r="J92" s="2"/>
      <c r="K92" s="2">
        <v>5.2529935346168033</v>
      </c>
      <c r="L92" s="2">
        <v>2889.1464440392419</v>
      </c>
      <c r="M92" s="1">
        <f t="shared" si="28"/>
        <v>2889.1464440392419</v>
      </c>
      <c r="N92" s="128">
        <f t="shared" si="29"/>
        <v>4638.5098968183147</v>
      </c>
      <c r="O92" s="128">
        <f t="shared" si="30"/>
        <v>4926.0975104210502</v>
      </c>
      <c r="P92" s="218">
        <f t="shared" si="20"/>
        <v>8.9565409280382724</v>
      </c>
      <c r="Q92" s="130">
        <v>0.2</v>
      </c>
      <c r="R92" s="220">
        <f>Q92+increase_in_actual_to_target_coverage_for_NCDs</f>
        <v>0.30000000000000004</v>
      </c>
      <c r="S92" s="125">
        <f>SUM('IHME prevalence'!E195:E197, 'IHME prevalence'!E269)</f>
        <v>253619.60550850001</v>
      </c>
      <c r="T92" s="128">
        <f t="shared" si="21"/>
        <v>249870981.45787817</v>
      </c>
      <c r="U92" s="218">
        <f t="shared" si="22"/>
        <v>454310.87537796033</v>
      </c>
      <c r="V92" t="s">
        <v>1981</v>
      </c>
    </row>
    <row r="93" spans="1:24" ht="43.2" hidden="1">
      <c r="C93" s="1" t="s">
        <v>1332</v>
      </c>
      <c r="D93" s="1" t="s">
        <v>796</v>
      </c>
      <c r="E93" s="149" t="str">
        <f>VLOOKUP(F93, 'FULL REFERENCE'!F:G, 2, FALSE)</f>
        <v xml:space="preserve">Mobilization activities </v>
      </c>
      <c r="F93" s="2" t="str">
        <f>VLOOKUP(D93, 'FULL REFERENCE'!A:B, 2, FALSE)</f>
        <v>Mobilization activities following acute injury or illness</v>
      </c>
      <c r="G93" s="2" t="s">
        <v>1084</v>
      </c>
      <c r="H93" s="1"/>
      <c r="I93" s="2" t="s">
        <v>1081</v>
      </c>
      <c r="J93" s="2"/>
      <c r="K93" s="2">
        <v>5.2529935346168033</v>
      </c>
      <c r="L93" s="2">
        <v>2889.1464440392419</v>
      </c>
      <c r="M93" s="1">
        <f t="shared" si="28"/>
        <v>2889.1464440392419</v>
      </c>
      <c r="N93" s="128">
        <f t="shared" si="29"/>
        <v>4638.5098968183147</v>
      </c>
      <c r="O93" s="128">
        <f t="shared" si="30"/>
        <v>4926.0975104210502</v>
      </c>
      <c r="P93" s="218">
        <f t="shared" si="20"/>
        <v>8.9565409280382724</v>
      </c>
      <c r="Q93" s="130">
        <v>0.2</v>
      </c>
      <c r="R93" s="220">
        <f>Q93+increase_in_actual_to_target_coverage_for_NCDs</f>
        <v>0.30000000000000004</v>
      </c>
      <c r="S93" s="125">
        <f>SUM('IHME prevalence'!G33:G43)</f>
        <v>1254624.3580598999</v>
      </c>
      <c r="T93" s="128">
        <f t="shared" si="21"/>
        <v>1236080385.3504963</v>
      </c>
      <c r="U93" s="218">
        <f t="shared" si="22"/>
        <v>2247418.8824554477</v>
      </c>
      <c r="V93" t="s">
        <v>1982</v>
      </c>
    </row>
    <row r="94" spans="1:24" ht="43.2" hidden="1">
      <c r="A94" s="1" t="s">
        <v>2295</v>
      </c>
      <c r="C94" s="1" t="s">
        <v>916</v>
      </c>
      <c r="D94" s="1" t="s">
        <v>629</v>
      </c>
      <c r="E94" s="135" t="str">
        <f>VLOOKUP(F94, 'FULL REFERENCE'!F:G, 2, FALSE)</f>
        <v>Management of newborn complications</v>
      </c>
      <c r="F94" s="2" t="str">
        <f>VLOOKUP(D94, 'FULL REFERENCE'!A:B, 2, FALSE)</f>
        <v>Management of newborn complications, neonatal meningitis, and other very serious infections requiring continuous supportive care (IV fluids, oxygen, etc.)</v>
      </c>
      <c r="G94" s="1" t="s">
        <v>930</v>
      </c>
      <c r="H94" s="1" t="s">
        <v>847</v>
      </c>
      <c r="I94" s="1" t="s">
        <v>864</v>
      </c>
      <c r="J94" s="1"/>
      <c r="K94" s="1">
        <v>0</v>
      </c>
      <c r="L94" s="1">
        <v>0</v>
      </c>
      <c r="M94" s="1">
        <f t="shared" si="28"/>
        <v>0</v>
      </c>
      <c r="N94" s="128">
        <f t="shared" si="29"/>
        <v>0</v>
      </c>
      <c r="O94" s="128">
        <f t="shared" si="30"/>
        <v>0</v>
      </c>
      <c r="P94" s="218">
        <f t="shared" si="20"/>
        <v>0</v>
      </c>
      <c r="Q94" s="130">
        <v>0.2</v>
      </c>
      <c r="R94" s="163">
        <v>0.8</v>
      </c>
      <c r="S94" s="125">
        <f>'IHME prevalence'!E308</f>
        <v>30254.644028499999</v>
      </c>
      <c r="T94" s="128">
        <f t="shared" si="21"/>
        <v>0</v>
      </c>
      <c r="U94" s="218">
        <f t="shared" si="22"/>
        <v>0</v>
      </c>
      <c r="V94" t="s">
        <v>1983</v>
      </c>
    </row>
    <row r="95" spans="1:24" ht="28.8" hidden="1">
      <c r="C95" s="1" t="s">
        <v>916</v>
      </c>
      <c r="D95" s="1" t="s">
        <v>630</v>
      </c>
      <c r="E95" s="135" t="str">
        <f>VLOOKUP(F95, 'FULL REFERENCE'!F:G, 2, FALSE)</f>
        <v>Preterm labor management</v>
      </c>
      <c r="F95" s="2" t="str">
        <f>VLOOKUP(D95, 'FULL REFERENCE'!A:B, 2, FALSE)</f>
        <v>Management of preterm labor with corticosteroids, including early detection at health centers</v>
      </c>
      <c r="G95" s="1" t="s">
        <v>931</v>
      </c>
      <c r="H95" s="1" t="s">
        <v>847</v>
      </c>
      <c r="I95" s="1" t="s">
        <v>864</v>
      </c>
      <c r="J95" s="1"/>
      <c r="K95" s="1">
        <v>26.923059640233603</v>
      </c>
      <c r="L95" s="1">
        <v>14807.682802128482</v>
      </c>
      <c r="M95" s="1">
        <f t="shared" si="28"/>
        <v>14807.682802128482</v>
      </c>
      <c r="N95" s="128">
        <f t="shared" si="29"/>
        <v>23773.659299385239</v>
      </c>
      <c r="O95" s="128">
        <f t="shared" si="30"/>
        <v>25247.626175947124</v>
      </c>
      <c r="P95" s="218">
        <f t="shared" si="20"/>
        <v>45.904774865358405</v>
      </c>
      <c r="Q95" s="130">
        <v>0.2</v>
      </c>
      <c r="R95" s="163">
        <v>0.8</v>
      </c>
      <c r="S95" s="125">
        <f>'IHME prevalence'!E306</f>
        <v>346000.52817800001</v>
      </c>
      <c r="T95" s="128">
        <f t="shared" si="21"/>
        <v>1747138398.4236808</v>
      </c>
      <c r="U95" s="218">
        <f t="shared" si="22"/>
        <v>3176615.2698612376</v>
      </c>
      <c r="V95" s="1"/>
    </row>
    <row r="96" spans="1:24" ht="28.8" hidden="1">
      <c r="C96" s="1" t="s">
        <v>916</v>
      </c>
      <c r="D96" s="1" t="s">
        <v>647</v>
      </c>
      <c r="E96" s="149" t="str">
        <f>VLOOKUP(F96, 'FULL REFERENCE'!F:G, 2, FALSE)</f>
        <v>Labor and delivery in high risk women</v>
      </c>
      <c r="F96" s="2" t="str">
        <f>VLOOKUP(D96, 'FULL REFERENCE'!A:B, 2, FALSE)</f>
        <v>Management of labor and delivery in high risk women, including operative delivery (CEmNOC)</v>
      </c>
      <c r="G96" s="1" t="s">
        <v>945</v>
      </c>
      <c r="H96" s="1" t="s">
        <v>918</v>
      </c>
      <c r="I96" s="1" t="s">
        <v>864</v>
      </c>
      <c r="J96" s="1"/>
      <c r="K96" s="1">
        <v>242.66493044089697</v>
      </c>
      <c r="L96" s="1">
        <v>133465.71174249332</v>
      </c>
      <c r="M96" s="1">
        <f t="shared" si="28"/>
        <v>133465.71174249332</v>
      </c>
      <c r="N96" s="128">
        <f t="shared" si="29"/>
        <v>214278.52024625408</v>
      </c>
      <c r="O96" s="128">
        <f t="shared" si="30"/>
        <v>227563.78850152183</v>
      </c>
      <c r="P96" s="218">
        <f t="shared" si="20"/>
        <v>413.75234273003969</v>
      </c>
      <c r="Q96" s="7">
        <v>0.18</v>
      </c>
      <c r="R96" s="163">
        <v>0.8</v>
      </c>
      <c r="S96" s="125">
        <f>'IHME prevalence'!G104</f>
        <v>80400.329282399995</v>
      </c>
      <c r="T96" s="128">
        <f t="shared" si="21"/>
        <v>3293316635.0891013</v>
      </c>
      <c r="U96" s="218">
        <f t="shared" si="22"/>
        <v>5987848.4274347294</v>
      </c>
      <c r="V96" t="s">
        <v>1127</v>
      </c>
    </row>
    <row r="97" spans="1:24" hidden="1">
      <c r="C97" s="1" t="s">
        <v>916</v>
      </c>
      <c r="D97" s="1" t="s">
        <v>648</v>
      </c>
      <c r="E97" s="149" t="str">
        <f>VLOOKUP(F97, 'FULL REFERENCE'!F:G, 2, FALSE)</f>
        <v>Surgery for ectopic pregnancy</v>
      </c>
      <c r="F97" s="2" t="str">
        <f>VLOOKUP(D97, 'FULL REFERENCE'!A:B, 2, FALSE)</f>
        <v>Surgery for ectopic pregnancy</v>
      </c>
      <c r="G97" s="1" t="s">
        <v>946</v>
      </c>
      <c r="H97" s="1" t="s">
        <v>918</v>
      </c>
      <c r="I97" s="1" t="s">
        <v>864</v>
      </c>
      <c r="J97" s="1"/>
      <c r="K97" s="1">
        <v>161.22124895711178</v>
      </c>
      <c r="L97" s="1">
        <v>88671.686926411479</v>
      </c>
      <c r="M97" s="26">
        <v>28165.879489999999</v>
      </c>
      <c r="N97" s="128">
        <f>M97</f>
        <v>28165.879489999999</v>
      </c>
      <c r="O97" s="128">
        <f>N97</f>
        <v>28165.879489999999</v>
      </c>
      <c r="P97" s="218">
        <f t="shared" si="20"/>
        <v>51.210689981818177</v>
      </c>
      <c r="Q97" s="130">
        <v>0.2</v>
      </c>
      <c r="R97" s="163">
        <v>0.8</v>
      </c>
      <c r="S97" s="125">
        <f>'IHME prevalence'!E305</f>
        <v>6004.6662223800004</v>
      </c>
      <c r="T97" s="128">
        <f t="shared" si="21"/>
        <v>33825341.039445721</v>
      </c>
      <c r="U97" s="218">
        <f t="shared" si="22"/>
        <v>61500.620071719495</v>
      </c>
      <c r="V97" t="s">
        <v>928</v>
      </c>
    </row>
    <row r="98" spans="1:24" ht="28.8" hidden="1">
      <c r="C98" s="1" t="s">
        <v>916</v>
      </c>
      <c r="D98" s="1" t="s">
        <v>631</v>
      </c>
      <c r="E98" s="149" t="str">
        <f>VLOOKUP(F98, 'FULL REFERENCE'!F:G, 2, FALSE)</f>
        <v>Treatment of neonatal pneumonia</v>
      </c>
      <c r="F98" s="2" t="str">
        <f>VLOOKUP(D98, 'FULL REFERENCE'!A:B, 2, FALSE)</f>
        <v>Early detection and treatment of neonatal pneumonia with oral antibiotics</v>
      </c>
      <c r="G98" s="1" t="s">
        <v>932</v>
      </c>
      <c r="H98" s="1" t="s">
        <v>847</v>
      </c>
      <c r="I98" s="1" t="s">
        <v>869</v>
      </c>
      <c r="J98" s="1"/>
      <c r="K98" s="1">
        <v>3.8321104472039145</v>
      </c>
      <c r="L98" s="1">
        <v>2107.6607459621528</v>
      </c>
      <c r="M98" s="1">
        <f>L98</f>
        <v>2107.6607459621528</v>
      </c>
      <c r="N98" s="128">
        <f>(M98*0.7*Salary_CIV_cost_uplift)+(M98*0.3)</f>
        <v>3383.8385899237337</v>
      </c>
      <c r="O98" s="128">
        <f>N98*1.062</f>
        <v>3593.6365824990053</v>
      </c>
      <c r="P98" s="218">
        <f t="shared" si="20"/>
        <v>6.5338846954527368</v>
      </c>
      <c r="Q98" s="130">
        <v>0.5</v>
      </c>
      <c r="R98" s="163">
        <v>0.8</v>
      </c>
      <c r="S98" s="125">
        <f>'IHME prevalence'!E308</f>
        <v>30254.644028499999</v>
      </c>
      <c r="T98" s="128">
        <f t="shared" si="21"/>
        <v>54362097.785651334</v>
      </c>
      <c r="U98" s="218">
        <f t="shared" si="22"/>
        <v>98840.177792093338</v>
      </c>
    </row>
    <row r="99" spans="1:24" ht="124.8" hidden="1">
      <c r="C99" s="1" t="s">
        <v>1332</v>
      </c>
      <c r="D99" s="25" t="s">
        <v>642</v>
      </c>
      <c r="E99" s="135" t="str">
        <f>VLOOKUP(F99, 'FULL REFERENCE'!F:G, 2, FALSE)</f>
        <v>Diabetes screening and care in pregnancy</v>
      </c>
      <c r="F99" s="2" t="str">
        <f>VLOOKUP(D99, 'FULL REFERENCE'!A:B, 2, FALSE)</f>
        <v>Screening and management of diabetes in pregnancy (gestational diabetes or preexisting type II diabetes)</v>
      </c>
      <c r="G99" s="20" t="s">
        <v>1015</v>
      </c>
      <c r="H99" s="21" t="s">
        <v>848</v>
      </c>
      <c r="I99" s="22" t="s">
        <v>1016</v>
      </c>
      <c r="J99" s="20"/>
      <c r="K99" s="20">
        <v>8.8451659255067661</v>
      </c>
      <c r="L99" s="20">
        <v>4864.8412590287217</v>
      </c>
      <c r="M99" s="123">
        <v>30000</v>
      </c>
      <c r="N99" s="128">
        <f>M99</f>
        <v>30000</v>
      </c>
      <c r="O99" s="128">
        <f>N99</f>
        <v>30000</v>
      </c>
      <c r="P99" s="218">
        <f t="shared" si="20"/>
        <v>54.545454545454547</v>
      </c>
      <c r="Q99" s="130">
        <v>0.2</v>
      </c>
      <c r="R99" s="220">
        <f>Q99+increase_in_actual_to_target_coverage_for_NCDs</f>
        <v>0.30000000000000004</v>
      </c>
      <c r="S99" s="127">
        <v>0</v>
      </c>
      <c r="T99" s="128">
        <f t="shared" si="21"/>
        <v>0</v>
      </c>
      <c r="U99" s="218">
        <f t="shared" si="22"/>
        <v>0</v>
      </c>
      <c r="V99" s="20" t="s">
        <v>1984</v>
      </c>
      <c r="W99" s="119"/>
    </row>
    <row r="100" spans="1:24" ht="43.2" hidden="1">
      <c r="C100" s="1" t="s">
        <v>916</v>
      </c>
      <c r="D100" s="1" t="s">
        <v>649</v>
      </c>
      <c r="E100" s="138" t="str">
        <f>VLOOKUP(F100, 'FULL REFERENCE'!F:G, 2, FALSE)</f>
        <v>BEmNOC</v>
      </c>
      <c r="F100" s="2" t="str">
        <f>VLOOKUP(D100, 'FULL REFERENCE'!A:B, 2, FALSE)</f>
        <v>Management of labor and delivery in low risk women (BEmNOC), including initial treatment of obstetric or delivery complications prior to transfer</v>
      </c>
      <c r="G100" s="1" t="s">
        <v>947</v>
      </c>
      <c r="H100" s="1" t="s">
        <v>918</v>
      </c>
      <c r="I100" s="1" t="s">
        <v>869</v>
      </c>
      <c r="J100" s="1"/>
      <c r="K100" s="1">
        <v>81.752040520855701</v>
      </c>
      <c r="L100" s="1">
        <v>44963.622286470636</v>
      </c>
      <c r="M100" s="1">
        <f t="shared" ref="M100:M107" si="31">L100</f>
        <v>44963.622286470636</v>
      </c>
      <c r="N100" s="128">
        <f t="shared" ref="N100:N107" si="32">(M100*0.7*Salary_CIV_cost_uplift)+(M100*0.3)</f>
        <v>72188.866508617095</v>
      </c>
      <c r="O100" s="128">
        <f t="shared" ref="O100:O107" si="33">N100*1.062</f>
        <v>76664.576232151361</v>
      </c>
      <c r="P100" s="218">
        <f t="shared" si="20"/>
        <v>139.39013860391157</v>
      </c>
      <c r="Q100" s="7">
        <v>0.7</v>
      </c>
      <c r="R100" s="163">
        <v>0.8</v>
      </c>
      <c r="S100" s="125">
        <f>'Population cible'!C4</f>
        <v>1049902</v>
      </c>
      <c r="T100" s="128">
        <f t="shared" si="21"/>
        <v>56343204340.701721</v>
      </c>
      <c r="U100" s="218">
        <f t="shared" si="22"/>
        <v>102442189.71036677</v>
      </c>
      <c r="V100" s="1" t="s">
        <v>1128</v>
      </c>
    </row>
    <row r="101" spans="1:24" ht="28.8" hidden="1">
      <c r="C101" s="1" t="s">
        <v>916</v>
      </c>
      <c r="D101" s="1" t="s">
        <v>669</v>
      </c>
      <c r="E101" s="138" t="str">
        <f>VLOOKUP(F101, 'FULL REFERENCE'!F:G, 2, FALSE)</f>
        <v>Integrated management of childhood illness</v>
      </c>
      <c r="F101" s="2" t="str">
        <f>VLOOKUP(D101, 'FULL REFERENCE'!A:B, 2, FALSE)</f>
        <v>Detection and treatment of childhood infections with danger signs (IMCI)</v>
      </c>
      <c r="G101" s="1" t="s">
        <v>964</v>
      </c>
      <c r="H101" s="1" t="s">
        <v>918</v>
      </c>
      <c r="I101" s="1" t="s">
        <v>869</v>
      </c>
      <c r="J101" s="1"/>
      <c r="K101" s="1">
        <v>8.1317460167989637</v>
      </c>
      <c r="L101" s="1">
        <v>4472.46030923943</v>
      </c>
      <c r="M101" s="1">
        <f t="shared" si="31"/>
        <v>4472.46030923943</v>
      </c>
      <c r="N101" s="128">
        <f t="shared" si="32"/>
        <v>7180.5122410238127</v>
      </c>
      <c r="O101" s="128">
        <f t="shared" si="33"/>
        <v>7625.7039999672897</v>
      </c>
      <c r="P101" s="218">
        <f t="shared" si="20"/>
        <v>13.86491636357689</v>
      </c>
      <c r="Q101" s="7">
        <v>0.44</v>
      </c>
      <c r="R101" s="163">
        <v>0.8</v>
      </c>
      <c r="S101" s="125">
        <f>'IHME prevalence'!G4+'IHME prevalence'!E342+'IHME prevalence'!E343</f>
        <v>1348131.9400642</v>
      </c>
      <c r="T101" s="128">
        <f t="shared" si="21"/>
        <v>4523400256.2457428</v>
      </c>
      <c r="U101" s="218">
        <f t="shared" si="22"/>
        <v>8224364.1022649873</v>
      </c>
      <c r="V101" s="1" t="s">
        <v>1123</v>
      </c>
    </row>
    <row r="102" spans="1:24" hidden="1">
      <c r="C102" s="1" t="s">
        <v>1956</v>
      </c>
      <c r="D102" s="1" t="s">
        <v>670</v>
      </c>
      <c r="E102" s="138" t="str">
        <f>VLOOKUP(F102, 'FULL REFERENCE'!F:G, 2, FALSE)</f>
        <v>ART care for PLHIV</v>
      </c>
      <c r="F102" s="1" t="str">
        <f>VLOOKUP(D102, 'FULL REFERENCE'!A:B, 2, FALSE)</f>
        <v>Among all individuals who are known to be HIV positive, immediate ART initiation with regular monitoring of viral load for adherence and development of resistance</v>
      </c>
      <c r="G102" s="1" t="s">
        <v>887</v>
      </c>
      <c r="H102" s="1"/>
      <c r="I102" s="1" t="s">
        <v>888</v>
      </c>
      <c r="J102" s="1"/>
      <c r="K102" s="1">
        <v>196.47598722309527</v>
      </c>
      <c r="L102" s="1">
        <v>108061.7929727024</v>
      </c>
      <c r="M102" s="1">
        <f t="shared" si="31"/>
        <v>108061.7929727024</v>
      </c>
      <c r="N102" s="128">
        <f t="shared" si="32"/>
        <v>173492.65808452171</v>
      </c>
      <c r="O102" s="128">
        <f t="shared" si="33"/>
        <v>184249.20288576206</v>
      </c>
      <c r="P102" s="218">
        <f t="shared" si="20"/>
        <v>334.99855070138557</v>
      </c>
      <c r="Q102" s="7">
        <v>0.46</v>
      </c>
      <c r="R102" s="163">
        <v>0.8</v>
      </c>
      <c r="S102" s="125">
        <f>'Population cible'!C17</f>
        <v>500000</v>
      </c>
      <c r="T102" s="128">
        <f t="shared" si="21"/>
        <v>42377316663.725273</v>
      </c>
      <c r="U102" s="218">
        <f t="shared" si="22"/>
        <v>77049666.661318675</v>
      </c>
      <c r="V102" s="1" t="s">
        <v>1456</v>
      </c>
      <c r="W102" s="121">
        <v>123882078504.42999</v>
      </c>
      <c r="X102" s="112" t="s">
        <v>1136</v>
      </c>
    </row>
    <row r="103" spans="1:24" ht="57.6" hidden="1">
      <c r="C103" s="1" t="s">
        <v>1332</v>
      </c>
      <c r="D103" s="1" t="s">
        <v>671</v>
      </c>
      <c r="E103" s="149" t="str">
        <f>VLOOKUP(F103, 'FULL REFERENCE'!F:G, 2, FALSE)</f>
        <v>Psychological treatment</v>
      </c>
      <c r="F103" s="2" t="str">
        <f>VLOOKUP(D103, 'FULL REFERENCE'!A:B, 2, FALSE)</f>
        <v>Psychological treatment for mood, anxiety, ADHD, and disruptive behavior disorders</v>
      </c>
      <c r="G103" s="2" t="s">
        <v>1056</v>
      </c>
      <c r="H103" s="2"/>
      <c r="I103" s="2" t="s">
        <v>919</v>
      </c>
      <c r="J103" s="2"/>
      <c r="K103" s="2">
        <v>35.44</v>
      </c>
      <c r="L103" s="2">
        <v>19492</v>
      </c>
      <c r="M103" s="1">
        <f t="shared" si="31"/>
        <v>19492</v>
      </c>
      <c r="N103" s="128">
        <f t="shared" si="32"/>
        <v>31294.306695778741</v>
      </c>
      <c r="O103" s="128">
        <f t="shared" si="33"/>
        <v>33234.553710917025</v>
      </c>
      <c r="P103" s="218">
        <f t="shared" si="20"/>
        <v>60.426461292576413</v>
      </c>
      <c r="Q103" s="130">
        <v>0.1</v>
      </c>
      <c r="R103" s="220">
        <f>Q103+increase_in_actual_to_target_coverage_for_NCDs</f>
        <v>0.2</v>
      </c>
      <c r="S103" s="125">
        <f>'IHME prevalence'!G80+'IHME prevalence'!G81+'IHME prevalence'!G82+'IHME prevalence'!G85+'IHME prevalence'!G86</f>
        <v>2040269.9251270001</v>
      </c>
      <c r="T103" s="128">
        <f t="shared" si="21"/>
        <v>6780746041.1401949</v>
      </c>
      <c r="U103" s="218">
        <f t="shared" si="22"/>
        <v>12328629.165709445</v>
      </c>
      <c r="V103" s="1"/>
    </row>
    <row r="104" spans="1:24" hidden="1">
      <c r="C104" s="1" t="s">
        <v>1956</v>
      </c>
      <c r="D104" s="1" t="s">
        <v>683</v>
      </c>
      <c r="E104" s="135" t="str">
        <f>VLOOKUP(F104, 'FULL REFERENCE'!F:G, 2, FALSE)</f>
        <v>Post gender-based violence care</v>
      </c>
      <c r="F104" s="1" t="str">
        <f>VLOOKUP(D104, 'FULL REFERENCE'!A:B, 2, FALSE)</f>
        <v>Post gender-based violence care, including counseling, provision of emergency contraception, and rape-response referral (medical and judicial)</v>
      </c>
      <c r="G104" s="1" t="s">
        <v>889</v>
      </c>
      <c r="H104" s="1"/>
      <c r="I104" s="1" t="s">
        <v>888</v>
      </c>
      <c r="J104" s="1"/>
      <c r="K104" s="1">
        <v>2.8939906360520209</v>
      </c>
      <c r="L104" s="1">
        <v>1591.6948498286115</v>
      </c>
      <c r="M104" s="1">
        <f t="shared" si="31"/>
        <v>1591.6948498286115</v>
      </c>
      <c r="N104" s="128">
        <f t="shared" si="32"/>
        <v>2555.4579723285478</v>
      </c>
      <c r="O104" s="128">
        <f t="shared" si="33"/>
        <v>2713.896366612918</v>
      </c>
      <c r="P104" s="218">
        <f t="shared" si="20"/>
        <v>4.9343570302053053</v>
      </c>
      <c r="Q104" s="7">
        <v>1</v>
      </c>
      <c r="R104" s="163">
        <v>1</v>
      </c>
      <c r="T104" s="128">
        <f t="shared" si="21"/>
        <v>0</v>
      </c>
      <c r="U104" s="218">
        <f t="shared" si="22"/>
        <v>0</v>
      </c>
      <c r="V104" s="143" t="s">
        <v>1985</v>
      </c>
    </row>
    <row r="105" spans="1:24" hidden="1">
      <c r="C105" s="1" t="s">
        <v>1956</v>
      </c>
      <c r="D105" s="1" t="s">
        <v>684</v>
      </c>
      <c r="E105" s="138" t="str">
        <f>VLOOKUP(F105, 'FULL REFERENCE'!F:G, 2, FALSE)</f>
        <v>Management of sexual and tract infections</v>
      </c>
      <c r="F105" s="1" t="str">
        <f>VLOOKUP(D105, 'FULL REFERENCE'!A:B, 2, FALSE)</f>
        <v>Syndromic management of common sexual and reproductive tract infections (for example uretheral discharge, genital ulcer, and others) according to WHO guidelines</v>
      </c>
      <c r="G105" s="1" t="s">
        <v>891</v>
      </c>
      <c r="H105" s="1"/>
      <c r="I105" s="1" t="s">
        <v>869</v>
      </c>
      <c r="J105" s="1"/>
      <c r="K105" s="1">
        <v>2.8590157106456027</v>
      </c>
      <c r="L105" s="1">
        <v>1572.4586408550815</v>
      </c>
      <c r="M105" s="1">
        <f t="shared" si="31"/>
        <v>1572.4586408550815</v>
      </c>
      <c r="N105" s="128">
        <f t="shared" si="32"/>
        <v>2524.5743368226099</v>
      </c>
      <c r="O105" s="128">
        <f t="shared" si="33"/>
        <v>2681.0979457056119</v>
      </c>
      <c r="P105" s="218">
        <f t="shared" si="20"/>
        <v>4.8747235376465667</v>
      </c>
      <c r="Q105" s="7">
        <v>0.63</v>
      </c>
      <c r="R105" s="163">
        <v>0.8</v>
      </c>
      <c r="S105" s="125">
        <f>'IHME prevalence'!G110</f>
        <v>4275298.7540199999</v>
      </c>
      <c r="T105" s="128">
        <f t="shared" si="21"/>
        <v>7221371665.2088938</v>
      </c>
      <c r="U105" s="218">
        <f t="shared" si="22"/>
        <v>13129766.66401617</v>
      </c>
      <c r="V105" s="1" t="s">
        <v>890</v>
      </c>
    </row>
    <row r="106" spans="1:24" ht="43.2" hidden="1">
      <c r="C106" s="1" t="s">
        <v>916</v>
      </c>
      <c r="D106" s="1" t="s">
        <v>685</v>
      </c>
      <c r="E106" s="138" t="str">
        <f>VLOOKUP(F106, 'FULL REFERENCE'!F:G, 2, FALSE)</f>
        <v>Opportunistic screening for cervical cancer</v>
      </c>
      <c r="F106" s="2" t="str">
        <f>VLOOKUP(D106, 'FULL REFERENCE'!A:B, 2, FALSE)</f>
        <v>Opportunistic screening for cervical cancer using visual inspection or HPV DNA testing and treatment of precancerous lesions with cryotherapy</v>
      </c>
      <c r="G106" s="1" t="s">
        <v>892</v>
      </c>
      <c r="H106" s="1" t="s">
        <v>918</v>
      </c>
      <c r="I106" s="1" t="s">
        <v>893</v>
      </c>
      <c r="J106" s="1"/>
      <c r="K106" s="1">
        <v>3.6837913810802321</v>
      </c>
      <c r="L106" s="1">
        <v>2026.0852595941276</v>
      </c>
      <c r="M106" s="1">
        <f t="shared" si="31"/>
        <v>2026.0852595941276</v>
      </c>
      <c r="N106" s="128">
        <f t="shared" si="32"/>
        <v>3252.8695621555057</v>
      </c>
      <c r="O106" s="128">
        <f t="shared" si="33"/>
        <v>3454.5474750091471</v>
      </c>
      <c r="P106" s="218">
        <f t="shared" si="20"/>
        <v>6.2809954091075397</v>
      </c>
      <c r="Q106" s="130">
        <v>0.2</v>
      </c>
      <c r="R106" s="163">
        <v>0.8</v>
      </c>
      <c r="S106" s="125">
        <f>'IHME prevalence'!G16</f>
        <v>6161.5403906000001</v>
      </c>
      <c r="T106" s="128">
        <f t="shared" si="21"/>
        <v>4257066.7597028213</v>
      </c>
      <c r="U106" s="218">
        <f t="shared" si="22"/>
        <v>7740.1213812778569</v>
      </c>
      <c r="V106" s="1"/>
    </row>
    <row r="107" spans="1:24" hidden="1">
      <c r="C107" s="1" t="s">
        <v>1956</v>
      </c>
      <c r="D107" s="1" t="s">
        <v>692</v>
      </c>
      <c r="E107" s="135" t="str">
        <f>VLOOKUP(F107, 'FULL REFERENCE'!F:G, 2, FALSE)</f>
        <v>Treatment eligibility for hepatitis B and C</v>
      </c>
      <c r="F107" s="1" t="str">
        <f>VLOOKUP(D107, 'FULL REFERENCE'!A:B, 2, FALSE)</f>
        <v>For individuals testing positive for hepatitis B and C, assessment of treatment eligibility by trained providers followed by initiation and monitoring of antiviral treatment when indicated</v>
      </c>
      <c r="G107" s="1" t="s">
        <v>894</v>
      </c>
      <c r="H107" s="1"/>
      <c r="I107" s="1" t="s">
        <v>869</v>
      </c>
      <c r="J107" s="1"/>
      <c r="K107" s="1">
        <v>231.3957558791088</v>
      </c>
      <c r="L107" s="1">
        <v>127267.66573350984</v>
      </c>
      <c r="M107" s="1">
        <f t="shared" si="31"/>
        <v>127267.66573350984</v>
      </c>
      <c r="N107" s="128">
        <f t="shared" si="32"/>
        <v>204327.58895548468</v>
      </c>
      <c r="O107" s="128">
        <f t="shared" si="33"/>
        <v>216995.89947072475</v>
      </c>
      <c r="P107" s="218">
        <f t="shared" si="20"/>
        <v>394.53799903768135</v>
      </c>
      <c r="Q107" s="130">
        <v>0.5</v>
      </c>
      <c r="R107" s="163">
        <v>0.8</v>
      </c>
      <c r="S107" s="125">
        <v>0</v>
      </c>
      <c r="T107" s="128">
        <f t="shared" si="21"/>
        <v>0</v>
      </c>
      <c r="U107" s="218">
        <f t="shared" si="22"/>
        <v>0</v>
      </c>
      <c r="V107" s="1" t="s">
        <v>1986</v>
      </c>
    </row>
    <row r="108" spans="1:24" ht="28.8" hidden="1">
      <c r="C108" s="1" t="s">
        <v>916</v>
      </c>
      <c r="D108" s="1" t="s">
        <v>632</v>
      </c>
      <c r="E108" s="138" t="str">
        <f>VLOOKUP(F108, 'FULL REFERENCE'!F:G, 2, FALSE)</f>
        <v>Miscarriage and abortions management</v>
      </c>
      <c r="F108" s="2" t="str">
        <f>VLOOKUP(D108, 'FULL REFERENCE'!A:B, 2, FALSE)</f>
        <v>Management of miscarriage or incomplete abortion and post abortion care</v>
      </c>
      <c r="G108" s="1" t="s">
        <v>933</v>
      </c>
      <c r="H108" s="1" t="s">
        <v>847</v>
      </c>
      <c r="I108" s="1" t="s">
        <v>869</v>
      </c>
      <c r="J108" s="1"/>
      <c r="K108" s="1">
        <v>9.6124698474463486</v>
      </c>
      <c r="L108" s="1">
        <v>5286.8584160954915</v>
      </c>
      <c r="M108" s="26">
        <v>11282.79312</v>
      </c>
      <c r="N108" s="128">
        <f>M108</f>
        <v>11282.79312</v>
      </c>
      <c r="O108" s="128">
        <f>N108</f>
        <v>11282.79312</v>
      </c>
      <c r="P108" s="218">
        <f t="shared" si="20"/>
        <v>20.51416930909091</v>
      </c>
      <c r="Q108" s="7">
        <v>0.1</v>
      </c>
      <c r="R108" s="163">
        <v>0.8</v>
      </c>
      <c r="S108" s="125">
        <f>'IHME prevalence'!E412</f>
        <v>583.51485814199998</v>
      </c>
      <c r="T108" s="128">
        <f t="shared" si="21"/>
        <v>658367.74268623337</v>
      </c>
      <c r="U108" s="218">
        <f t="shared" si="22"/>
        <v>1197.0322594295153</v>
      </c>
      <c r="V108" s="1" t="s">
        <v>922</v>
      </c>
    </row>
    <row r="109" spans="1:24" hidden="1">
      <c r="C109" s="1" t="s">
        <v>1956</v>
      </c>
      <c r="D109" s="1" t="s">
        <v>693</v>
      </c>
      <c r="E109" s="135" t="str">
        <f>VLOOKUP(F109, 'FULL REFERENCE'!F:G, 2, FALSE)</f>
        <v>Hepatitis B and C testing and referral</v>
      </c>
      <c r="F109" s="1" t="str">
        <f>VLOOKUP(D109, 'FULL REFERENCE'!A:B, 2, FALSE)</f>
        <v>Hepatitis B and C testing of individuals identified in the national testing policy (based on endemicity and risk level), with appropriate referral of positive individuals to trained providers</v>
      </c>
      <c r="G109" s="1" t="s">
        <v>895</v>
      </c>
      <c r="H109" s="1"/>
      <c r="I109" s="1" t="s">
        <v>869</v>
      </c>
      <c r="J109" s="1"/>
      <c r="K109" s="1">
        <v>9.2458293766477926</v>
      </c>
      <c r="L109" s="1">
        <v>5085.2061571562863</v>
      </c>
      <c r="M109" s="1">
        <f t="shared" ref="M109:M120" si="34">L109</f>
        <v>5085.2061571562863</v>
      </c>
      <c r="N109" s="128">
        <f t="shared" ref="N109:N120" si="35">(M109*0.7*Salary_CIV_cost_uplift)+(M109*0.3)</f>
        <v>8164.2725781505878</v>
      </c>
      <c r="O109" s="128">
        <f t="shared" ref="O109:O120" si="36">N109*1.062</f>
        <v>8670.4574779959239</v>
      </c>
      <c r="P109" s="218">
        <f t="shared" si="20"/>
        <v>15.76446814181077</v>
      </c>
      <c r="Q109" s="130">
        <v>0.5</v>
      </c>
      <c r="R109" s="163">
        <v>0.8</v>
      </c>
      <c r="S109" s="125">
        <f>SUM('IHME prevalence'!E355:E356)</f>
        <v>182609.293966</v>
      </c>
      <c r="T109" s="128">
        <f t="shared" si="21"/>
        <v>791653059.20953035</v>
      </c>
      <c r="U109" s="218">
        <f t="shared" si="22"/>
        <v>1439369.1985627825</v>
      </c>
      <c r="V109" s="1"/>
    </row>
    <row r="110" spans="1:24" hidden="1">
      <c r="A110" s="1" t="s">
        <v>2296</v>
      </c>
      <c r="C110" s="1" t="s">
        <v>1956</v>
      </c>
      <c r="D110" s="1" t="s">
        <v>694</v>
      </c>
      <c r="E110" s="1" t="str">
        <f>VLOOKUP(F110, 'FULL REFERENCE'!F:G, 2, FALSE)</f>
        <v>Expedited treatment for common STIs</v>
      </c>
      <c r="F110" s="1" t="str">
        <f>VLOOKUP(D110, 'FULL REFERENCE'!A:B, 2, FALSE)</f>
        <v>Partner notification and expedited treatment for common STIs, including HIV</v>
      </c>
      <c r="G110" s="1" t="s">
        <v>896</v>
      </c>
      <c r="H110" s="1"/>
      <c r="I110" s="1" t="s">
        <v>869</v>
      </c>
      <c r="J110" s="1"/>
      <c r="K110" s="1">
        <v>2.923101510025103</v>
      </c>
      <c r="L110" s="1">
        <v>1607.7058305138066</v>
      </c>
      <c r="M110" s="1">
        <f t="shared" si="34"/>
        <v>1607.7058305138066</v>
      </c>
      <c r="N110" s="128">
        <f t="shared" si="35"/>
        <v>2581.1635202488583</v>
      </c>
      <c r="O110" s="128">
        <f t="shared" si="36"/>
        <v>2741.1956585042876</v>
      </c>
      <c r="P110" s="218">
        <f t="shared" si="20"/>
        <v>4.9839921063714323</v>
      </c>
      <c r="Q110" s="130">
        <v>0.5</v>
      </c>
      <c r="R110" s="163">
        <v>0.8</v>
      </c>
      <c r="S110" s="125">
        <f>'IHME prevalence'!G110</f>
        <v>4275298.7540199999</v>
      </c>
      <c r="T110" s="128">
        <f t="shared" si="21"/>
        <v>5859715191.6642065</v>
      </c>
      <c r="U110" s="218">
        <f t="shared" si="22"/>
        <v>10654027.621207649</v>
      </c>
      <c r="V110" s="1" t="s">
        <v>1987</v>
      </c>
    </row>
    <row r="111" spans="1:24" hidden="1">
      <c r="C111" s="1" t="s">
        <v>1956</v>
      </c>
      <c r="D111" s="1" t="s">
        <v>695</v>
      </c>
      <c r="E111" s="138" t="str">
        <f>VLOOKUP(F111, 'FULL REFERENCE'!F:G, 2, FALSE)</f>
        <v>PrEP for individuals at high risk of infection</v>
      </c>
      <c r="F111" s="1" t="str">
        <f>VLOOKUP(D111, 'FULL REFERENCE'!A:B, 2, FALSE)</f>
        <v>PrEP for discordant couples and others at high risk of infection such as commercial sex workers (in high prevalence settings)</v>
      </c>
      <c r="G111" s="1" t="s">
        <v>897</v>
      </c>
      <c r="H111" s="1"/>
      <c r="I111" s="1" t="s">
        <v>888</v>
      </c>
      <c r="J111" s="1"/>
      <c r="K111" s="1">
        <v>131.71779696347781</v>
      </c>
      <c r="L111" s="1">
        <v>72444.788329912801</v>
      </c>
      <c r="M111" s="1">
        <f t="shared" si="34"/>
        <v>72444.788329912801</v>
      </c>
      <c r="N111" s="128">
        <f t="shared" si="35"/>
        <v>116309.73858542292</v>
      </c>
      <c r="O111" s="128">
        <f t="shared" si="36"/>
        <v>123520.94237771916</v>
      </c>
      <c r="P111" s="218">
        <f t="shared" si="20"/>
        <v>224.583531595853</v>
      </c>
      <c r="Q111" s="7">
        <v>1</v>
      </c>
      <c r="R111" s="163">
        <v>1</v>
      </c>
      <c r="S111" s="125">
        <f>'Population cible'!C86+'Population cible'!C93+'Population cible'!C101+'Population cible'!C107</f>
        <v>58385</v>
      </c>
      <c r="T111" s="128">
        <f t="shared" si="21"/>
        <v>7211770220.7231331</v>
      </c>
      <c r="U111" s="218">
        <f t="shared" si="22"/>
        <v>13112309.492223877</v>
      </c>
      <c r="V111" s="1"/>
    </row>
    <row r="112" spans="1:24" hidden="1">
      <c r="C112" s="1" t="s">
        <v>1956</v>
      </c>
      <c r="D112" t="s">
        <v>696</v>
      </c>
      <c r="E112" s="1" t="s">
        <v>266</v>
      </c>
      <c r="F112" s="1" t="str">
        <f>VLOOKUP(D112, 'FULL REFERENCE'!A:B, 2, FALSE)</f>
        <v>Provider-initiated testing and counseling for HIV, STIs, and hepatitis, for all in contact with health system in high-prevalence settings, including prenatal care with appropriate referral or linkage to care including immediate ART initiation for those testing positive for HIV</v>
      </c>
      <c r="G112" s="1" t="s">
        <v>898</v>
      </c>
      <c r="H112" s="1"/>
      <c r="I112" s="1" t="s">
        <v>869</v>
      </c>
      <c r="J112" s="1"/>
      <c r="K112" s="1">
        <v>5.01</v>
      </c>
      <c r="L112" s="1">
        <v>2755.5</v>
      </c>
      <c r="M112" s="1">
        <f t="shared" si="34"/>
        <v>2755.5</v>
      </c>
      <c r="N112" s="128">
        <f t="shared" si="35"/>
        <v>4423.9412117903921</v>
      </c>
      <c r="O112" s="128">
        <f t="shared" si="36"/>
        <v>4698.2255669213964</v>
      </c>
      <c r="P112" s="218">
        <f t="shared" si="20"/>
        <v>8.5422283034934487</v>
      </c>
      <c r="Q112" s="7">
        <v>0.54</v>
      </c>
      <c r="R112" s="163">
        <v>0.8</v>
      </c>
      <c r="S112" s="125">
        <f>SUM('IHME prevalence'!G3+'IHME prevalence'!E355+'IHME prevalence'!E356)</f>
        <v>712812.51443500014</v>
      </c>
      <c r="T112" s="128">
        <f t="shared" si="21"/>
        <v>1808435149.0596242</v>
      </c>
      <c r="U112" s="218">
        <f t="shared" si="22"/>
        <v>3288063.907381135</v>
      </c>
      <c r="V112" s="1" t="s">
        <v>1135</v>
      </c>
    </row>
    <row r="113" spans="3:24" hidden="1">
      <c r="C113" s="1" t="s">
        <v>1956</v>
      </c>
      <c r="D113" t="s">
        <v>697</v>
      </c>
      <c r="E113" s="1" t="str">
        <f>VLOOKUP(F113, 'FULL REFERENCE'!F:G, 2, FALSE)</f>
        <v>Hepatitis B vaccination</v>
      </c>
      <c r="F113" s="1" t="str">
        <f>VLOOKUP(D113, 'FULL REFERENCE'!A:B, 2, FALSE)</f>
        <v>As resources permit, hepatitis B vaccination of high-risk populations, including healthcare workers, PWID, MSM, household contacts, and persons with multiple sex partners</v>
      </c>
      <c r="G113" s="1" t="s">
        <v>899</v>
      </c>
      <c r="H113" s="1"/>
      <c r="I113" s="1" t="s">
        <v>869</v>
      </c>
      <c r="J113" s="1"/>
      <c r="K113" s="1">
        <v>0.67</v>
      </c>
      <c r="L113" s="1">
        <v>368.5</v>
      </c>
      <c r="M113" s="1">
        <f t="shared" si="34"/>
        <v>368.5</v>
      </c>
      <c r="N113" s="128">
        <f t="shared" si="35"/>
        <v>591.62487263464322</v>
      </c>
      <c r="O113" s="128">
        <f t="shared" si="36"/>
        <v>628.30561473799116</v>
      </c>
      <c r="P113" s="218">
        <f t="shared" si="20"/>
        <v>1.1423738449781657</v>
      </c>
      <c r="Q113" s="130">
        <v>0.5</v>
      </c>
      <c r="R113" s="163">
        <v>0.8</v>
      </c>
      <c r="S113" s="125">
        <f>'Population cible'!C5</f>
        <v>1582755</v>
      </c>
      <c r="T113" s="128">
        <f t="shared" si="21"/>
        <v>497226926.62731463</v>
      </c>
      <c r="U113" s="218">
        <f t="shared" si="22"/>
        <v>904048.95750420843</v>
      </c>
      <c r="V113" s="1"/>
    </row>
    <row r="114" spans="3:24" hidden="1">
      <c r="C114" s="1" t="s">
        <v>1956</v>
      </c>
      <c r="D114" s="1" t="s">
        <v>698</v>
      </c>
      <c r="E114" s="135" t="str">
        <f>VLOOKUP(F114, 'FULL REFERENCE'!F:G, 2, FALSE)</f>
        <v>Medical male circumcision</v>
      </c>
      <c r="F114" s="1" t="str">
        <f>VLOOKUP(D114, 'FULL REFERENCE'!A:B, 2, FALSE)</f>
        <v>Provision of voluntary medical male circumcision service in settings with high prevalence of HIV</v>
      </c>
      <c r="G114" s="1" t="s">
        <v>900</v>
      </c>
      <c r="H114" s="1"/>
      <c r="I114" s="1" t="s">
        <v>869</v>
      </c>
      <c r="J114" s="1"/>
      <c r="K114" s="1">
        <v>32.674754216549147</v>
      </c>
      <c r="L114" s="1">
        <v>17971.114819102029</v>
      </c>
      <c r="M114" s="1">
        <f t="shared" si="34"/>
        <v>17971.114819102029</v>
      </c>
      <c r="N114" s="128">
        <f t="shared" si="35"/>
        <v>28852.533286170386</v>
      </c>
      <c r="O114" s="128">
        <f t="shared" si="36"/>
        <v>30641.390349912952</v>
      </c>
      <c r="P114" s="218">
        <f t="shared" si="20"/>
        <v>55.711618818023545</v>
      </c>
      <c r="Q114" s="7">
        <v>0.97</v>
      </c>
      <c r="R114" s="163">
        <v>0.97</v>
      </c>
      <c r="T114" s="128">
        <f t="shared" si="21"/>
        <v>0</v>
      </c>
      <c r="U114" s="218">
        <f t="shared" si="22"/>
        <v>0</v>
      </c>
      <c r="V114" s="142" t="s">
        <v>1747</v>
      </c>
    </row>
    <row r="115" spans="3:24" hidden="1">
      <c r="C115" s="1" t="s">
        <v>1956</v>
      </c>
      <c r="D115" s="1" t="s">
        <v>699</v>
      </c>
      <c r="E115" s="138" t="str">
        <f>VLOOKUP(F115, 'FULL REFERENCE'!F:G, 2, FALSE)</f>
        <v>Isoniazid Preventative Therapy for TB</v>
      </c>
      <c r="F115" s="1" t="str">
        <f>VLOOKUP(D115, 'FULL REFERENCE'!A:B, 2, FALSE)</f>
        <v>For PLHIV and children under five who are close contacts or household members of individuals with active TB, perform symptom screening and chest radiograph; if there is no active TB, provide isoniazid preventive therapy according to current WHO guidelines</v>
      </c>
      <c r="G115" s="1" t="s">
        <v>901</v>
      </c>
      <c r="H115" s="1"/>
      <c r="I115" s="1" t="s">
        <v>888</v>
      </c>
      <c r="J115" s="1"/>
      <c r="K115" s="1">
        <v>73.145665077899338</v>
      </c>
      <c r="L115" s="1">
        <v>40230.115792844634</v>
      </c>
      <c r="M115" s="1">
        <f t="shared" si="34"/>
        <v>40230.115792844634</v>
      </c>
      <c r="N115" s="128">
        <f t="shared" si="35"/>
        <v>64589.24594849025</v>
      </c>
      <c r="O115" s="128">
        <f t="shared" si="36"/>
        <v>68593.779197296652</v>
      </c>
      <c r="P115" s="218">
        <f t="shared" si="20"/>
        <v>124.71596217690301</v>
      </c>
      <c r="Q115" s="7">
        <v>1</v>
      </c>
      <c r="R115" s="163">
        <v>1</v>
      </c>
      <c r="S115" s="125">
        <f>'Population cible'!C21</f>
        <v>36000</v>
      </c>
      <c r="T115" s="128">
        <f t="shared" si="21"/>
        <v>2469376051.1026793</v>
      </c>
      <c r="U115" s="218">
        <f t="shared" si="22"/>
        <v>4489774.6383685078</v>
      </c>
      <c r="V115" t="s">
        <v>890</v>
      </c>
    </row>
    <row r="116" spans="3:24" ht="43.95" hidden="1" customHeight="1">
      <c r="C116" s="1" t="s">
        <v>915</v>
      </c>
      <c r="D116" s="1" t="s">
        <v>700</v>
      </c>
      <c r="E116" s="138" t="s">
        <v>83</v>
      </c>
      <c r="F116" s="1" t="str">
        <f>VLOOKUP(D116, 'FULL REFERENCE'!A:B, 2, FALSE)</f>
        <v>Diagnosis of TB, including assessment of rifampicin resistance using rapid molecular diagnostics (UltraXpert), and initiation of first-line treatment per current WHO guidelines for drug-susceptible TB; referral for confirmation, further assessment of drug resistance, and treatment of drug-resistant TB</v>
      </c>
      <c r="G116" s="1" t="s">
        <v>902</v>
      </c>
      <c r="H116" s="1" t="s">
        <v>847</v>
      </c>
      <c r="I116" s="1" t="s">
        <v>912</v>
      </c>
      <c r="J116" s="1"/>
      <c r="K116" s="1">
        <v>111.26</v>
      </c>
      <c r="L116" s="1">
        <v>61193</v>
      </c>
      <c r="M116" s="1">
        <f t="shared" si="34"/>
        <v>61193</v>
      </c>
      <c r="N116" s="128">
        <f t="shared" si="35"/>
        <v>98245.049745269265</v>
      </c>
      <c r="O116" s="128">
        <f t="shared" si="36"/>
        <v>104336.24282947596</v>
      </c>
      <c r="P116" s="218">
        <f t="shared" si="20"/>
        <v>189.70225968995629</v>
      </c>
      <c r="Q116" s="145">
        <v>0.7</v>
      </c>
      <c r="R116" s="163">
        <v>0.8</v>
      </c>
      <c r="S116" s="125">
        <f>'Population cible'!C21</f>
        <v>36000</v>
      </c>
      <c r="T116" s="128">
        <f t="shared" si="21"/>
        <v>2629273319.302794</v>
      </c>
      <c r="U116" s="218">
        <f t="shared" si="22"/>
        <v>4780496.9441868979</v>
      </c>
      <c r="V116" s="2" t="s">
        <v>1957</v>
      </c>
      <c r="W116" s="116">
        <v>3084983966.3600001</v>
      </c>
      <c r="X116" s="113" t="s">
        <v>1151</v>
      </c>
    </row>
    <row r="117" spans="3:24" hidden="1">
      <c r="C117" s="1" t="s">
        <v>1956</v>
      </c>
      <c r="D117" s="1" t="s">
        <v>701</v>
      </c>
      <c r="E117" s="138" t="str">
        <f>VLOOKUP(F117, 'FULL REFERENCE'!F:G, 2, FALSE)</f>
        <v>HIV screening and care for active TB patients</v>
      </c>
      <c r="F117" s="1" t="str">
        <f>VLOOKUP(D117, 'FULL REFERENCE'!A:B, 2, FALSE)</f>
        <v>Screening for HIV in all individuals with a diagnosis of active TB; if HIV infection is present, start (or refer for) ARV treatment and HIV care</v>
      </c>
      <c r="G117" s="1" t="s">
        <v>903</v>
      </c>
      <c r="H117" s="1"/>
      <c r="I117" s="1" t="s">
        <v>904</v>
      </c>
      <c r="J117" s="1"/>
      <c r="K117" s="1">
        <v>1.6933568648852475</v>
      </c>
      <c r="L117" s="1">
        <v>931.34627568688609</v>
      </c>
      <c r="M117" s="1">
        <f t="shared" si="34"/>
        <v>931.34627568688609</v>
      </c>
      <c r="N117" s="128">
        <f t="shared" si="35"/>
        <v>1495.2717007652736</v>
      </c>
      <c r="O117" s="128">
        <f t="shared" si="36"/>
        <v>1587.9785462127206</v>
      </c>
      <c r="P117" s="218">
        <f t="shared" si="20"/>
        <v>2.8872337203867646</v>
      </c>
      <c r="Q117" s="7">
        <v>1</v>
      </c>
      <c r="R117" s="163">
        <v>1</v>
      </c>
      <c r="S117" s="125">
        <f>'Population cible'!C21</f>
        <v>36000</v>
      </c>
      <c r="T117" s="128">
        <f t="shared" si="21"/>
        <v>57167227.663657941</v>
      </c>
      <c r="U117" s="218">
        <f t="shared" si="22"/>
        <v>103940.41393392353</v>
      </c>
      <c r="V117" t="s">
        <v>890</v>
      </c>
    </row>
    <row r="118" spans="3:24" hidden="1">
      <c r="C118" s="1" t="s">
        <v>1956</v>
      </c>
      <c r="D118" s="1" t="s">
        <v>702</v>
      </c>
      <c r="E118" s="138" t="s">
        <v>151</v>
      </c>
      <c r="F118" s="1" t="str">
        <f>VLOOKUP(D118, 'FULL REFERENCE'!A:B, 2, FALSE)</f>
        <v>Screening for latent TB infection following a new diagnosis of HIV, followed by yearly screening among PLHIV at high risk of TB exposure; initiation of isoniazid preventive therapy among all individuals who screen positive but do not have evidence of active TB</v>
      </c>
      <c r="G118" s="1" t="s">
        <v>905</v>
      </c>
      <c r="H118" s="1"/>
      <c r="I118" s="1" t="s">
        <v>869</v>
      </c>
      <c r="J118" s="1"/>
      <c r="K118" s="1">
        <v>13.02</v>
      </c>
      <c r="L118" s="1">
        <v>7161</v>
      </c>
      <c r="M118" s="1">
        <f t="shared" si="34"/>
        <v>7161</v>
      </c>
      <c r="N118" s="128">
        <f t="shared" si="35"/>
        <v>11496.949017467246</v>
      </c>
      <c r="O118" s="128">
        <f t="shared" si="36"/>
        <v>12209.759856550216</v>
      </c>
      <c r="P118" s="218">
        <f t="shared" si="20"/>
        <v>22.199563375545846</v>
      </c>
      <c r="Q118" s="7">
        <v>1</v>
      </c>
      <c r="R118" s="163">
        <v>1</v>
      </c>
      <c r="S118" s="125">
        <f>'Population cible'!C21</f>
        <v>36000</v>
      </c>
      <c r="T118" s="128">
        <f t="shared" si="21"/>
        <v>439551354.83580774</v>
      </c>
      <c r="U118" s="218">
        <f t="shared" si="22"/>
        <v>799184.28151965048</v>
      </c>
      <c r="V118" t="s">
        <v>890</v>
      </c>
    </row>
    <row r="119" spans="3:24" ht="28.8" hidden="1">
      <c r="C119" s="1" t="s">
        <v>916</v>
      </c>
      <c r="D119" s="1" t="s">
        <v>633</v>
      </c>
      <c r="E119" s="138" t="str">
        <f>VLOOKUP(F119, 'FULL REFERENCE'!F:G, 2, FALSE)</f>
        <v>Preterm premature rupture management</v>
      </c>
      <c r="F119" s="2" t="str">
        <f>VLOOKUP(D119, 'FULL REFERENCE'!A:B, 2, FALSE)</f>
        <v>Management of preterm premature rupture of membranes, including administration of antibotics</v>
      </c>
      <c r="G119" s="1" t="s">
        <v>934</v>
      </c>
      <c r="H119" s="1" t="s">
        <v>847</v>
      </c>
      <c r="I119" s="1" t="s">
        <v>869</v>
      </c>
      <c r="J119" s="1"/>
      <c r="K119" s="1">
        <v>3.1742986146488623</v>
      </c>
      <c r="L119" s="1">
        <v>1745.8642380568742</v>
      </c>
      <c r="M119" s="1">
        <f t="shared" si="34"/>
        <v>1745.8642380568742</v>
      </c>
      <c r="N119" s="128">
        <f t="shared" si="35"/>
        <v>2802.9761396954591</v>
      </c>
      <c r="O119" s="128">
        <f t="shared" si="36"/>
        <v>2976.7606603565778</v>
      </c>
      <c r="P119" s="218">
        <f t="shared" si="20"/>
        <v>5.4122921097392327</v>
      </c>
      <c r="Q119" s="130">
        <v>0.2</v>
      </c>
      <c r="R119" s="163">
        <v>0.8</v>
      </c>
      <c r="S119" s="125">
        <f>'IHME prevalence'!E302</f>
        <v>30146.068535400002</v>
      </c>
      <c r="T119" s="128">
        <f t="shared" si="21"/>
        <v>17947526.176118392</v>
      </c>
      <c r="U119" s="218">
        <f t="shared" si="22"/>
        <v>32631.865774760714</v>
      </c>
      <c r="W119" s="116">
        <v>37416518036.540001</v>
      </c>
      <c r="X119" s="112" t="s">
        <v>1154</v>
      </c>
    </row>
    <row r="120" spans="3:24" hidden="1">
      <c r="C120" s="1" t="s">
        <v>1300</v>
      </c>
      <c r="D120" s="1" t="s">
        <v>732</v>
      </c>
      <c r="E120" s="138" t="str">
        <f>VLOOKUP(F120, 'FULL REFERENCE'!F:G, 2, FALSE)</f>
        <v>Use of vaccines for endemic infections</v>
      </c>
      <c r="F120" s="1" t="str">
        <f>VLOOKUP(D120, 'FULL REFERENCE'!A:B, 2, FALSE)</f>
        <v>Focused use of vaccines for endemic infections, such as dengue, JEV, typhoid, meningococcus, and others</v>
      </c>
      <c r="G120" s="1" t="s">
        <v>870</v>
      </c>
      <c r="H120" s="1"/>
      <c r="I120" s="1" t="s">
        <v>869</v>
      </c>
      <c r="J120" s="1"/>
      <c r="K120" s="1" t="s">
        <v>871</v>
      </c>
      <c r="L120" s="1"/>
      <c r="M120" s="1">
        <f t="shared" si="34"/>
        <v>0</v>
      </c>
      <c r="N120" s="128">
        <f t="shared" si="35"/>
        <v>0</v>
      </c>
      <c r="O120" s="128">
        <f t="shared" si="36"/>
        <v>0</v>
      </c>
      <c r="P120" s="218">
        <f t="shared" si="20"/>
        <v>0</v>
      </c>
      <c r="Q120" s="7">
        <v>0.2</v>
      </c>
      <c r="R120" s="163">
        <v>0.8</v>
      </c>
      <c r="T120" s="128">
        <f t="shared" si="21"/>
        <v>0</v>
      </c>
      <c r="U120" s="218">
        <f t="shared" si="22"/>
        <v>0</v>
      </c>
      <c r="V120" s="1" t="s">
        <v>1987</v>
      </c>
    </row>
    <row r="121" spans="3:24" hidden="1">
      <c r="C121" s="1" t="s">
        <v>1300</v>
      </c>
      <c r="D121" s="1" t="s">
        <v>733</v>
      </c>
      <c r="E121" s="138" t="str">
        <f>VLOOKUP(F121, 'FULL REFERENCE'!F:G, 2, FALSE)</f>
        <v>Provision of insecticide nets</v>
      </c>
      <c r="F121" s="1" t="str">
        <f>VLOOKUP(D121, 'FULL REFERENCE'!A:B, 2, FALSE)</f>
        <v>Provision of insecticide-treated nets to children and pregnant women attending health centers</v>
      </c>
      <c r="G121" s="1" t="s">
        <v>872</v>
      </c>
      <c r="H121" s="1" t="s">
        <v>848</v>
      </c>
      <c r="I121" s="1" t="s">
        <v>855</v>
      </c>
      <c r="J121" s="1" t="s">
        <v>849</v>
      </c>
      <c r="K121" s="1">
        <v>6.1816122110580389</v>
      </c>
      <c r="L121" s="1">
        <v>3399.8867160819213</v>
      </c>
      <c r="M121" s="26">
        <v>6500</v>
      </c>
      <c r="N121" s="128">
        <f>M121</f>
        <v>6500</v>
      </c>
      <c r="O121" s="128">
        <f>N121</f>
        <v>6500</v>
      </c>
      <c r="P121" s="218">
        <f t="shared" si="20"/>
        <v>11.818181818181818</v>
      </c>
      <c r="Q121" s="7">
        <v>0.59</v>
      </c>
      <c r="R121" s="163">
        <v>0.8</v>
      </c>
      <c r="S121" s="125">
        <f>'Population cible'!C7</f>
        <v>24571045.52410252</v>
      </c>
      <c r="T121" s="128">
        <f t="shared" si="21"/>
        <v>94229959584.933167</v>
      </c>
      <c r="U121" s="218">
        <f t="shared" si="22"/>
        <v>171327199.24533302</v>
      </c>
      <c r="V121" t="s">
        <v>1124</v>
      </c>
      <c r="W121" s="119">
        <v>41764997779.550003</v>
      </c>
      <c r="X121" s="112" t="s">
        <v>1141</v>
      </c>
    </row>
    <row r="122" spans="3:24" ht="58.95" hidden="1" customHeight="1">
      <c r="C122" s="1" t="s">
        <v>1332</v>
      </c>
      <c r="D122" s="1" t="s">
        <v>742</v>
      </c>
      <c r="E122" s="135" t="str">
        <f>VLOOKUP(F122, 'FULL REFERENCE'!F:G, 2, FALSE)</f>
        <v>Therapy for CVD risk factors</v>
      </c>
      <c r="F122" s="2" t="str">
        <f>VLOOKUP(D122, 'FULL REFERENCE'!A:B, 2, FALSE)</f>
        <v>Long-term combination therapy for persons with multiple CVD risk factors, including screening for CVD in community settings using non-lab-based tools to assess overall CVD risk</v>
      </c>
      <c r="G122" s="2" t="s">
        <v>1017</v>
      </c>
      <c r="H122" s="16" t="s">
        <v>848</v>
      </c>
      <c r="I122" s="17" t="s">
        <v>1018</v>
      </c>
      <c r="J122" s="2"/>
      <c r="K122" s="2">
        <v>19.220474619863193</v>
      </c>
      <c r="L122" s="2">
        <v>10571.261040924755</v>
      </c>
      <c r="M122" s="1">
        <f>L122</f>
        <v>10571.261040924755</v>
      </c>
      <c r="N122" s="128">
        <f>(M122*0.7*Salary_CIV_cost_uplift)+(M122*0.3)</f>
        <v>16972.105744707394</v>
      </c>
      <c r="O122" s="128">
        <f>N122*1.062</f>
        <v>18024.376300879252</v>
      </c>
      <c r="P122" s="218">
        <f t="shared" si="20"/>
        <v>32.771593274325916</v>
      </c>
      <c r="Q122" s="130">
        <v>0.2</v>
      </c>
      <c r="R122" s="220">
        <f>Q122+increase_in_actual_to_target_coverage_for_NCDs</f>
        <v>0.30000000000000004</v>
      </c>
      <c r="S122" s="124"/>
      <c r="T122" s="128">
        <f t="shared" si="21"/>
        <v>0</v>
      </c>
      <c r="U122" s="218">
        <f t="shared" si="22"/>
        <v>0</v>
      </c>
      <c r="V122" s="1" t="s">
        <v>1041</v>
      </c>
    </row>
    <row r="123" spans="3:24" ht="57.6" hidden="1">
      <c r="C123" s="1" t="s">
        <v>1332</v>
      </c>
      <c r="D123" s="1" t="s">
        <v>743</v>
      </c>
      <c r="E123" s="138" t="str">
        <f>VLOOKUP(F123, 'FULL REFERENCE'!F:G, 2, FALSE)</f>
        <v xml:space="preserve">Inhaled corticosteroids and bronchodilators </v>
      </c>
      <c r="F123" s="2" t="str">
        <f>VLOOKUP(D123, 'FULL REFERENCE'!A:B, 2, FALSE)</f>
        <v>Low-dose inhaled corticosteroids and bronchodilators for asthma and for selected patients with COPD</v>
      </c>
      <c r="G123" s="2" t="s">
        <v>1019</v>
      </c>
      <c r="H123" s="16" t="s">
        <v>848</v>
      </c>
      <c r="I123" s="17" t="s">
        <v>1018</v>
      </c>
      <c r="J123" s="2"/>
      <c r="K123" s="2">
        <v>50.993475299729845</v>
      </c>
      <c r="L123" s="2">
        <v>28046.411414851416</v>
      </c>
      <c r="M123" s="122">
        <v>120000</v>
      </c>
      <c r="N123" s="128">
        <f>M123</f>
        <v>120000</v>
      </c>
      <c r="O123" s="128">
        <f>N123</f>
        <v>120000</v>
      </c>
      <c r="P123" s="218">
        <f t="shared" si="20"/>
        <v>218.18181818181819</v>
      </c>
      <c r="Q123" s="130">
        <v>0.2</v>
      </c>
      <c r="R123" s="220">
        <f>Q123+increase_in_actual_to_target_coverage_for_NCDs</f>
        <v>0.30000000000000004</v>
      </c>
      <c r="S123" s="124">
        <f>'IHME prevalence'!E208</f>
        <v>396210.46682600002</v>
      </c>
      <c r="T123" s="128">
        <f t="shared" si="21"/>
        <v>9509051203.8240013</v>
      </c>
      <c r="U123" s="218">
        <f t="shared" si="22"/>
        <v>17289184.006952729</v>
      </c>
      <c r="V123" t="s">
        <v>1042</v>
      </c>
    </row>
    <row r="124" spans="3:24" ht="43.2" hidden="1">
      <c r="C124" s="1" t="s">
        <v>1332</v>
      </c>
      <c r="D124" s="1" t="s">
        <v>744</v>
      </c>
      <c r="E124" s="138" t="str">
        <f>VLOOKUP(F124, 'FULL REFERENCE'!F:G, 2, FALSE)</f>
        <v>Aspirin for acute myocardial infarction</v>
      </c>
      <c r="F124" s="2" t="str">
        <f>VLOOKUP(D124, 'FULL REFERENCE'!A:B, 2, FALSE)</f>
        <v>Provision of aspirin for all cases of suspected acute myocardial infarction</v>
      </c>
      <c r="G124" s="2" t="s">
        <v>1020</v>
      </c>
      <c r="H124" s="16" t="s">
        <v>848</v>
      </c>
      <c r="I124" s="17" t="s">
        <v>1021</v>
      </c>
      <c r="J124" s="2"/>
      <c r="K124" s="2">
        <v>10.75</v>
      </c>
      <c r="L124" s="2">
        <v>5372.8</v>
      </c>
      <c r="M124" s="2">
        <f>L124</f>
        <v>5372.8</v>
      </c>
      <c r="N124" s="128">
        <f>(M124*0.7*Salary_CIV_cost_uplift)+(M124*0.3)</f>
        <v>8626.0030276564758</v>
      </c>
      <c r="O124" s="128">
        <f t="shared" ref="O124:O126" si="37">N124*1.062</f>
        <v>9160.8152153711781</v>
      </c>
      <c r="P124" s="218">
        <f t="shared" si="20"/>
        <v>16.656027664311232</v>
      </c>
      <c r="Q124" s="130">
        <v>0.2</v>
      </c>
      <c r="R124" s="220">
        <f>Q124+increase_in_actual_to_target_coverage_for_NCDs</f>
        <v>0.30000000000000004</v>
      </c>
      <c r="S124" s="124">
        <f>'IHME prevalence'!E199</f>
        <v>169976.50188600001</v>
      </c>
      <c r="T124" s="128">
        <f t="shared" si="21"/>
        <v>311424664.9465673</v>
      </c>
      <c r="U124" s="218">
        <f t="shared" si="22"/>
        <v>566226.66353921324</v>
      </c>
    </row>
    <row r="125" spans="3:24" ht="100.8" hidden="1">
      <c r="C125" s="1" t="s">
        <v>1332</v>
      </c>
      <c r="D125" s="1" t="s">
        <v>745</v>
      </c>
      <c r="E125" s="138" t="str">
        <f>VLOOKUP(F125, 'FULL REFERENCE'!F:G, 2, FALSE)</f>
        <v>Screening and ACEi or ARBs for kidney disease</v>
      </c>
      <c r="F125" s="2" t="str">
        <f>VLOOKUP(D125, 'FULL REFERENCE'!A:B, 2, FALSE)</f>
        <v>Screening and management of albuminuric kidney disease with ACEi or ARBs, including targeted screening among people with diabetes</v>
      </c>
      <c r="G125" s="2" t="s">
        <v>1022</v>
      </c>
      <c r="H125" s="16" t="s">
        <v>848</v>
      </c>
      <c r="I125" s="17" t="s">
        <v>1018</v>
      </c>
      <c r="J125" s="2"/>
      <c r="K125" s="2">
        <v>41.05698281732284</v>
      </c>
      <c r="L125" s="2">
        <v>22581.340549527562</v>
      </c>
      <c r="M125" s="2">
        <f>L125</f>
        <v>22581.340549527562</v>
      </c>
      <c r="N125" s="128">
        <f>(M125*0.7*Salary_CIV_cost_uplift)+(M125*0.3)</f>
        <v>36254.22720904681</v>
      </c>
      <c r="O125" s="128">
        <f t="shared" si="37"/>
        <v>38501.989296007712</v>
      </c>
      <c r="P125" s="218">
        <f t="shared" si="20"/>
        <v>70.003616901832203</v>
      </c>
      <c r="Q125" s="130">
        <v>0.2</v>
      </c>
      <c r="R125" s="220">
        <f>Q125+increase_in_actual_to_target_coverage_for_NCDs</f>
        <v>0.30000000000000004</v>
      </c>
      <c r="S125" s="124">
        <f>SUM('IHME prevalence'!E371:E373)</f>
        <v>1385143.8155445</v>
      </c>
      <c r="T125" s="128">
        <f t="shared" si="21"/>
        <v>10666158471.905123</v>
      </c>
      <c r="U125" s="218">
        <f t="shared" si="22"/>
        <v>19393015.403463859</v>
      </c>
      <c r="V125" t="s">
        <v>1043</v>
      </c>
    </row>
    <row r="126" spans="3:24" ht="28.8">
      <c r="C126" s="1" t="s">
        <v>916</v>
      </c>
      <c r="D126" s="1" t="s">
        <v>634</v>
      </c>
      <c r="E126" s="138" t="str">
        <f>VLOOKUP(F126, 'FULL REFERENCE'!F:G, 2, FALSE)</f>
        <v>Condoms and hormonal contraceptives</v>
      </c>
      <c r="F126" s="2" t="str">
        <f>VLOOKUP(D126, 'FULL REFERENCE'!A:B, 2, FALSE)</f>
        <v>Provision of condoms and hormonal contraceptives, including emergency contraceptives</v>
      </c>
      <c r="G126" s="1" t="s">
        <v>935</v>
      </c>
      <c r="H126" s="1" t="s">
        <v>918</v>
      </c>
      <c r="I126" s="1" t="s">
        <v>869</v>
      </c>
      <c r="J126" s="1"/>
      <c r="K126" s="1">
        <v>3.9155617804681011</v>
      </c>
      <c r="L126" s="1">
        <v>2153.5589792574556</v>
      </c>
      <c r="M126" s="2">
        <f>L126</f>
        <v>2153.5589792574556</v>
      </c>
      <c r="N126" s="128">
        <f>(M126*0.7*Salary_CIV_cost_uplift)+(M126*0.3)</f>
        <v>3457.5279696455482</v>
      </c>
      <c r="O126" s="128">
        <f t="shared" si="37"/>
        <v>3671.8947037635726</v>
      </c>
      <c r="P126" s="218">
        <f t="shared" si="20"/>
        <v>6.6761721886610408</v>
      </c>
      <c r="Q126" s="8">
        <v>0.33700000000000002</v>
      </c>
      <c r="R126" s="163">
        <v>0.8</v>
      </c>
      <c r="S126" s="125">
        <f>'IHME prevalence'!G3</f>
        <v>530203.22046900005</v>
      </c>
      <c r="T126" s="128">
        <f t="shared" si="21"/>
        <v>656088583.84241831</v>
      </c>
      <c r="U126" s="218">
        <f t="shared" si="22"/>
        <v>1192888.3342589424</v>
      </c>
      <c r="V126" s="1" t="s">
        <v>1955</v>
      </c>
    </row>
    <row r="127" spans="3:24" ht="86.4" hidden="1">
      <c r="C127" s="1" t="s">
        <v>1332</v>
      </c>
      <c r="D127" s="1" t="s">
        <v>746</v>
      </c>
      <c r="E127" s="138" t="str">
        <f>VLOOKUP(F127, 'FULL REFERENCE'!F:G, 2, FALSE)</f>
        <v>Diabetes screening and care for at-risk adults</v>
      </c>
      <c r="F127" s="2" t="str">
        <f>VLOOKUP(D127, 'FULL REFERENCE'!A:B, 2, FALSE)</f>
        <v>Screening and management of diabetes among at-risk adults, including glycemic control, management of blood pressure and lipids, and consistent foot care</v>
      </c>
      <c r="G127" s="2" t="s">
        <v>1023</v>
      </c>
      <c r="H127" s="16" t="s">
        <v>848</v>
      </c>
      <c r="I127" s="17" t="s">
        <v>1024</v>
      </c>
      <c r="J127" s="2"/>
      <c r="K127" s="2">
        <v>73.615185505463486</v>
      </c>
      <c r="L127" s="2">
        <v>40488.35202800492</v>
      </c>
      <c r="M127" s="6">
        <v>400000</v>
      </c>
      <c r="N127" s="128">
        <f>M127</f>
        <v>400000</v>
      </c>
      <c r="O127" s="128">
        <f>N127</f>
        <v>400000</v>
      </c>
      <c r="P127" s="218">
        <f t="shared" si="20"/>
        <v>727.27272727272725</v>
      </c>
      <c r="Q127" s="130">
        <v>0.2</v>
      </c>
      <c r="R127" s="220">
        <f t="shared" ref="R127:R133" si="38">Q127+increase_in_actual_to_target_coverage_for_NCDs</f>
        <v>0.30000000000000004</v>
      </c>
      <c r="S127" s="124">
        <f>SUM('IHME prevalence'!E407:E408)</f>
        <v>840328.69450139999</v>
      </c>
      <c r="T127" s="128">
        <f t="shared" si="21"/>
        <v>67226295560.112</v>
      </c>
      <c r="U127" s="218">
        <f t="shared" si="22"/>
        <v>122229628.29111272</v>
      </c>
      <c r="V127" s="2" t="s">
        <v>1044</v>
      </c>
      <c r="W127" s="116">
        <v>28471064610.060001</v>
      </c>
      <c r="X127" s="112" t="s">
        <v>1146</v>
      </c>
    </row>
    <row r="128" spans="3:24" ht="172.8" hidden="1">
      <c r="C128" s="1" t="s">
        <v>1332</v>
      </c>
      <c r="D128" s="1" t="s">
        <v>747</v>
      </c>
      <c r="E128" s="138" t="str">
        <f>VLOOKUP(F128, 'FULL REFERENCE'!F:G, 2, FALSE)</f>
        <v>Secondary prophylaxis for rheumatic fever</v>
      </c>
      <c r="F128" s="2" t="str">
        <f>VLOOKUP(D128, 'FULL REFERENCE'!A:B, 2, FALSE)</f>
        <v xml:space="preserve">Secondary prophylaxis with penicillin for rheumatic fever or established rheumatic heart disease </v>
      </c>
      <c r="G128" s="2" t="s">
        <v>1025</v>
      </c>
      <c r="H128" s="16" t="s">
        <v>848</v>
      </c>
      <c r="I128" s="17" t="s">
        <v>919</v>
      </c>
      <c r="J128" s="2"/>
      <c r="K128" s="2">
        <v>0.12884216254510045</v>
      </c>
      <c r="L128" s="2">
        <v>70.86318939980525</v>
      </c>
      <c r="M128" s="2">
        <f t="shared" ref="M128:M133" si="39">L128</f>
        <v>70.86318939980525</v>
      </c>
      <c r="N128" s="128">
        <f t="shared" ref="N128:N133" si="40">(M128*0.7*Salary_CIV_cost_uplift)+(M128*0.3)</f>
        <v>113.77048956077172</v>
      </c>
      <c r="O128" s="128">
        <f t="shared" ref="O128:O140" si="41">N128*1.062</f>
        <v>120.82425991353958</v>
      </c>
      <c r="P128" s="218">
        <f t="shared" si="20"/>
        <v>0.21968047257007195</v>
      </c>
      <c r="Q128" s="130">
        <v>0.2</v>
      </c>
      <c r="R128" s="220">
        <f t="shared" si="38"/>
        <v>0.30000000000000004</v>
      </c>
      <c r="S128" s="124">
        <f>'IHME prevalence'!G33</f>
        <v>202217.44639200001</v>
      </c>
      <c r="T128" s="128">
        <f t="shared" si="21"/>
        <v>4886554.6603838531</v>
      </c>
      <c r="U128" s="218">
        <f t="shared" si="22"/>
        <v>8884.6448370615508</v>
      </c>
      <c r="V128" s="2" t="s">
        <v>1045</v>
      </c>
    </row>
    <row r="129" spans="3:24" ht="115.2" hidden="1">
      <c r="C129" s="1" t="s">
        <v>1332</v>
      </c>
      <c r="D129" s="1" t="s">
        <v>749</v>
      </c>
      <c r="E129" s="151" t="str">
        <f>VLOOKUP(F129, 'FULL REFERENCE'!F:G, 2, FALSE)</f>
        <v>IHD, stroke and PVD management</v>
      </c>
      <c r="F129" s="2" t="str">
        <f>VLOOKUP(D129, 'FULL REFERENCE'!A:B, 2, FALSE)</f>
        <v>Long term management of ischemic heart disease, stroke, and peripheral vascular disease with aspirin, beta blockers, ACEi, and statins (as indicated) to reduce risk of further events</v>
      </c>
      <c r="G129" s="17" t="s">
        <v>1026</v>
      </c>
      <c r="H129" s="16" t="s">
        <v>848</v>
      </c>
      <c r="I129" s="17" t="s">
        <v>1027</v>
      </c>
      <c r="J129" s="2"/>
      <c r="K129" s="2">
        <v>64.39489403018591</v>
      </c>
      <c r="L129" s="2">
        <v>35417.191716602247</v>
      </c>
      <c r="M129" s="2">
        <f t="shared" si="39"/>
        <v>35417.191716602247</v>
      </c>
      <c r="N129" s="128">
        <f t="shared" si="40"/>
        <v>56862.120864074757</v>
      </c>
      <c r="O129" s="128">
        <f t="shared" si="41"/>
        <v>60387.572357647397</v>
      </c>
      <c r="P129" s="218">
        <f t="shared" si="20"/>
        <v>109.79558610481345</v>
      </c>
      <c r="Q129" s="130">
        <v>0.2</v>
      </c>
      <c r="R129" s="220">
        <f t="shared" si="38"/>
        <v>0.30000000000000004</v>
      </c>
      <c r="S129" s="124">
        <f>'IHME prevalence'!G35+'IHME prevalence'!G36+'IHME prevalence'!E371+'IHME prevalence'!E372+'IHME prevalence'!E373</f>
        <v>1545675.1393601</v>
      </c>
      <c r="T129" s="128">
        <f t="shared" si="21"/>
        <v>18667913863.904953</v>
      </c>
      <c r="U129" s="218">
        <f t="shared" si="22"/>
        <v>33941661.570736282</v>
      </c>
      <c r="V129" s="1" t="s">
        <v>1043</v>
      </c>
    </row>
    <row r="130" spans="3:24" ht="72" hidden="1">
      <c r="C130" s="1" t="s">
        <v>1332</v>
      </c>
      <c r="D130" s="1" t="s">
        <v>750</v>
      </c>
      <c r="E130" s="151" t="str">
        <f>VLOOKUP(F130, 'FULL REFERENCE'!F:G, 2, FALSE)</f>
        <v>Medical management of heart failure</v>
      </c>
      <c r="F130" s="2" t="str">
        <f>VLOOKUP(D130, 'FULL REFERENCE'!A:B, 2, FALSE)</f>
        <v xml:space="preserve">Medical management of heart failure with diuretics, beta-blockers, ACEi, and mineralocorticoid antagonists </v>
      </c>
      <c r="G130" s="2" t="s">
        <v>1028</v>
      </c>
      <c r="H130" s="16" t="s">
        <v>848</v>
      </c>
      <c r="I130" s="17" t="s">
        <v>1027</v>
      </c>
      <c r="J130" s="2"/>
      <c r="K130" s="2">
        <v>244.39936583785567</v>
      </c>
      <c r="L130" s="2">
        <v>134419.65121082062</v>
      </c>
      <c r="M130" s="2">
        <f t="shared" si="39"/>
        <v>134419.65121082062</v>
      </c>
      <c r="N130" s="128">
        <f t="shared" si="40"/>
        <v>215810.06520269992</v>
      </c>
      <c r="O130" s="128">
        <f t="shared" si="41"/>
        <v>229190.28924526731</v>
      </c>
      <c r="P130" s="218">
        <f t="shared" si="20"/>
        <v>416.70961680957691</v>
      </c>
      <c r="Q130" s="130">
        <v>0.2</v>
      </c>
      <c r="R130" s="220">
        <f t="shared" si="38"/>
        <v>0.30000000000000004</v>
      </c>
      <c r="S130" s="125">
        <f>S129</f>
        <v>1545675.1393601</v>
      </c>
      <c r="T130" s="128">
        <f t="shared" si="21"/>
        <v>70850746453.832047</v>
      </c>
      <c r="U130" s="218">
        <f t="shared" si="22"/>
        <v>128819539.00696735</v>
      </c>
      <c r="V130" s="1" t="s">
        <v>1039</v>
      </c>
    </row>
    <row r="131" spans="3:24" ht="86.4" hidden="1">
      <c r="C131" s="1" t="s">
        <v>1332</v>
      </c>
      <c r="D131" s="1" t="s">
        <v>751</v>
      </c>
      <c r="E131" s="151" t="str">
        <f>VLOOKUP(F131, 'FULL REFERENCE'!F:G, 2, FALSE)</f>
        <v>Opportunistic screening for hypertension</v>
      </c>
      <c r="F131" s="2" t="str">
        <f>VLOOKUP(D131, 'FULL REFERENCE'!A:B, 2, FALSE)</f>
        <v>Opportunistic screening for hypertension for all adults and initiation of treatment among individuals with severe hypertension and/or multiple risk factors</v>
      </c>
      <c r="G131" s="2" t="s">
        <v>1029</v>
      </c>
      <c r="H131" s="16" t="s">
        <v>848</v>
      </c>
      <c r="I131" s="17" t="s">
        <v>1030</v>
      </c>
      <c r="J131" s="2"/>
      <c r="K131" s="2">
        <v>1.4797812679861231</v>
      </c>
      <c r="L131" s="2">
        <v>813.87969739236769</v>
      </c>
      <c r="M131" s="2">
        <f t="shared" si="39"/>
        <v>813.87969739236769</v>
      </c>
      <c r="N131" s="128">
        <f t="shared" si="40"/>
        <v>1306.6797077603296</v>
      </c>
      <c r="O131" s="128">
        <f t="shared" si="41"/>
        <v>1387.69384964147</v>
      </c>
      <c r="P131" s="218">
        <f t="shared" ref="P131:P176" si="42">O131/550</f>
        <v>2.5230797266208547</v>
      </c>
      <c r="Q131" s="130">
        <v>0.2</v>
      </c>
      <c r="R131" s="220">
        <f t="shared" si="38"/>
        <v>0.30000000000000004</v>
      </c>
      <c r="S131" s="125">
        <f>S130</f>
        <v>1545675.1393601</v>
      </c>
      <c r="T131" s="128">
        <f t="shared" ref="T131:T176" si="43">S131*Q131*O131</f>
        <v>428984776.88674659</v>
      </c>
      <c r="U131" s="218">
        <f t="shared" ref="U131:U176" si="44">T131/550</f>
        <v>779972.32161226647</v>
      </c>
      <c r="V131" s="1" t="s">
        <v>1039</v>
      </c>
      <c r="W131" s="119">
        <v>10749006579.35</v>
      </c>
      <c r="X131" s="112" t="s">
        <v>1144</v>
      </c>
    </row>
    <row r="132" spans="3:24" ht="57.6" hidden="1">
      <c r="C132" s="1" t="s">
        <v>1332</v>
      </c>
      <c r="D132" s="1" t="s">
        <v>752</v>
      </c>
      <c r="E132" s="151" t="str">
        <f>VLOOKUP(F132, 'FULL REFERENCE'!F:G, 2, FALSE)</f>
        <v>Tobacco cessation counseling</v>
      </c>
      <c r="F132" s="2" t="str">
        <f>VLOOKUP(D132, 'FULL REFERENCE'!A:B, 2, FALSE)</f>
        <v xml:space="preserve">Tobacco cessation counseling, and use of nicotine replacement therapy in certain circumstances </v>
      </c>
      <c r="G132" s="2" t="s">
        <v>1051</v>
      </c>
      <c r="H132" s="2"/>
      <c r="I132" s="2" t="s">
        <v>919</v>
      </c>
      <c r="J132" s="2"/>
      <c r="K132" s="2">
        <v>11.087821949862175</v>
      </c>
      <c r="L132" s="2">
        <v>6098.302072424196</v>
      </c>
      <c r="M132" s="2">
        <f t="shared" si="39"/>
        <v>6098.302072424196</v>
      </c>
      <c r="N132" s="128">
        <f t="shared" si="40"/>
        <v>9790.792908780315</v>
      </c>
      <c r="O132" s="128">
        <f t="shared" si="41"/>
        <v>10397.822069124695</v>
      </c>
      <c r="P132" s="218">
        <f t="shared" si="42"/>
        <v>18.905131034772172</v>
      </c>
      <c r="Q132" s="130">
        <v>0.2</v>
      </c>
      <c r="R132" s="220">
        <f t="shared" si="38"/>
        <v>0.30000000000000004</v>
      </c>
      <c r="T132" s="128">
        <f t="shared" si="43"/>
        <v>0</v>
      </c>
      <c r="U132" s="218">
        <f t="shared" si="44"/>
        <v>0</v>
      </c>
      <c r="V132" s="1"/>
    </row>
    <row r="133" spans="3:24" ht="57.6" hidden="1">
      <c r="C133" s="1" t="s">
        <v>1332</v>
      </c>
      <c r="D133" s="1" t="s">
        <v>763</v>
      </c>
      <c r="E133" s="138" t="str">
        <f>VLOOKUP(F133, 'FULL REFERENCE'!F:G, 2, FALSE)</f>
        <v>Bipolar disorder management</v>
      </c>
      <c r="F133" s="2" t="str">
        <f>VLOOKUP(D133, 'FULL REFERENCE'!A:B, 2, FALSE)</f>
        <v>Management of bipolar disorder using generic mood-stabilizing medications and psychosocial treatment</v>
      </c>
      <c r="G133" s="2" t="s">
        <v>1057</v>
      </c>
      <c r="H133" s="2"/>
      <c r="I133" s="2" t="s">
        <v>919</v>
      </c>
      <c r="J133" s="2"/>
      <c r="K133" s="2">
        <v>153.27000000000001</v>
      </c>
      <c r="L133" s="2">
        <v>84298.5</v>
      </c>
      <c r="M133" s="2">
        <f t="shared" si="39"/>
        <v>84298.5</v>
      </c>
      <c r="N133" s="128">
        <f t="shared" si="40"/>
        <v>135340.81228165937</v>
      </c>
      <c r="O133" s="128">
        <f t="shared" si="41"/>
        <v>143731.94264312225</v>
      </c>
      <c r="P133" s="218">
        <f t="shared" si="42"/>
        <v>261.33080480567685</v>
      </c>
      <c r="Q133" s="130">
        <v>0.1</v>
      </c>
      <c r="R133" s="220">
        <f t="shared" si="38"/>
        <v>0.2</v>
      </c>
      <c r="S133" s="125">
        <f>'IHME prevalence'!G81</f>
        <v>133315.594438</v>
      </c>
      <c r="T133" s="128">
        <f t="shared" si="43"/>
        <v>1916170937.3196366</v>
      </c>
      <c r="U133" s="218">
        <f t="shared" si="44"/>
        <v>3483947.1587629756</v>
      </c>
      <c r="W133" s="117">
        <v>7714056216.75</v>
      </c>
      <c r="X133" s="112" t="s">
        <v>1145</v>
      </c>
    </row>
    <row r="134" spans="3:24" s="1" customFormat="1" hidden="1">
      <c r="D134" s="1" t="s">
        <v>2111</v>
      </c>
      <c r="E134" s="138" t="s">
        <v>2112</v>
      </c>
      <c r="F134" s="2"/>
      <c r="G134" s="2"/>
      <c r="H134" s="2"/>
      <c r="I134" s="2"/>
      <c r="J134" s="2"/>
      <c r="K134" s="2"/>
      <c r="L134" s="2"/>
      <c r="M134" s="2"/>
      <c r="N134" s="128"/>
      <c r="O134" s="128">
        <f t="shared" si="41"/>
        <v>0</v>
      </c>
      <c r="P134" s="218">
        <f t="shared" si="42"/>
        <v>0</v>
      </c>
      <c r="Q134" s="130">
        <v>0.2</v>
      </c>
      <c r="R134" s="163">
        <v>0.8</v>
      </c>
      <c r="S134" s="125"/>
      <c r="T134" s="128">
        <f t="shared" si="43"/>
        <v>0</v>
      </c>
      <c r="U134" s="218">
        <f t="shared" si="44"/>
        <v>0</v>
      </c>
      <c r="W134" s="203"/>
      <c r="X134" s="112"/>
    </row>
    <row r="135" spans="3:24" ht="57.6" hidden="1">
      <c r="C135" s="1" t="s">
        <v>1332</v>
      </c>
      <c r="D135" s="1" t="s">
        <v>764</v>
      </c>
      <c r="E135" s="138" t="str">
        <f>VLOOKUP(F135, 'FULL REFERENCE'!F:G, 2, FALSE)</f>
        <v>Psycological and antidepressant therapy</v>
      </c>
      <c r="F135" s="2" t="str">
        <f>VLOOKUP(D135, 'FULL REFERENCE'!A:B, 2, FALSE)</f>
        <v>Management of depression and anxiety disorders with psycological and generic antidepressant therapy</v>
      </c>
      <c r="G135" s="2" t="s">
        <v>1058</v>
      </c>
      <c r="H135" s="2"/>
      <c r="I135" s="2" t="s">
        <v>919</v>
      </c>
      <c r="J135" s="2"/>
      <c r="K135" s="2">
        <v>13.379999999999999</v>
      </c>
      <c r="L135" s="2">
        <v>7358.9999999999991</v>
      </c>
      <c r="M135" s="2">
        <f t="shared" ref="M135:M140" si="45">L135</f>
        <v>7358.9999999999991</v>
      </c>
      <c r="N135" s="128">
        <f t="shared" ref="N135:N140" si="46">(M135*0.7*Salary_CIV_cost_uplift)+(M135*0.3)</f>
        <v>11814.837008733622</v>
      </c>
      <c r="O135" s="128">
        <f t="shared" si="41"/>
        <v>12547.356903275107</v>
      </c>
      <c r="P135" s="218">
        <f t="shared" si="42"/>
        <v>22.813376187772924</v>
      </c>
      <c r="Q135" s="130">
        <v>0.2</v>
      </c>
      <c r="R135" s="220">
        <f t="shared" ref="R135:R144" si="47">Q135+increase_in_actual_to_target_coverage_for_NCDs</f>
        <v>0.30000000000000004</v>
      </c>
      <c r="S135" s="125">
        <f>SUM('IHME prevalence'!G80+'IHME prevalence'!G82)</f>
        <v>1263016.9124949998</v>
      </c>
      <c r="T135" s="128">
        <f t="shared" si="43"/>
        <v>3169504795.1894698</v>
      </c>
      <c r="U135" s="218">
        <f t="shared" si="44"/>
        <v>5762735.9912535818</v>
      </c>
    </row>
    <row r="136" spans="3:24" ht="57.6" hidden="1">
      <c r="C136" s="1" t="s">
        <v>1332</v>
      </c>
      <c r="D136" s="1" t="s">
        <v>765</v>
      </c>
      <c r="E136" s="138" t="str">
        <f>VLOOKUP(F136, 'FULL REFERENCE'!F:G, 2, FALSE)</f>
        <v>Epilepsy management</v>
      </c>
      <c r="F136" s="2" t="str">
        <f>VLOOKUP(D136, 'FULL REFERENCE'!A:B, 2, FALSE)</f>
        <v>Management of epilepsy, including acute stabilization and long-term management with generic anti-epileptics</v>
      </c>
      <c r="G136" s="2" t="s">
        <v>1059</v>
      </c>
      <c r="H136" s="2"/>
      <c r="I136" s="2" t="s">
        <v>919</v>
      </c>
      <c r="J136" s="2"/>
      <c r="K136" s="2">
        <v>22.86</v>
      </c>
      <c r="L136" s="2">
        <v>12573</v>
      </c>
      <c r="M136" s="2">
        <f t="shared" si="45"/>
        <v>12573</v>
      </c>
      <c r="N136" s="128">
        <f t="shared" si="46"/>
        <v>20185.887445414839</v>
      </c>
      <c r="O136" s="128">
        <f t="shared" si="41"/>
        <v>21437.412467030561</v>
      </c>
      <c r="P136" s="218">
        <f t="shared" si="42"/>
        <v>38.9771135764192</v>
      </c>
      <c r="Q136" s="130">
        <v>0.2</v>
      </c>
      <c r="R136" s="220">
        <f t="shared" si="47"/>
        <v>0.30000000000000004</v>
      </c>
      <c r="S136" s="125">
        <f>'IHME prevalence'!G142</f>
        <v>124765.791872</v>
      </c>
      <c r="T136" s="128">
        <f t="shared" si="43"/>
        <v>534931148.42715067</v>
      </c>
      <c r="U136" s="218">
        <f t="shared" si="44"/>
        <v>972602.08804936486</v>
      </c>
    </row>
    <row r="137" spans="3:24" ht="57.6" hidden="1">
      <c r="C137" s="1" t="s">
        <v>1332</v>
      </c>
      <c r="D137" s="1" t="s">
        <v>766</v>
      </c>
      <c r="E137" s="138" t="str">
        <f>VLOOKUP(F137, 'FULL REFERENCE'!F:G, 2, FALSE)</f>
        <v>Schizophrenia management</v>
      </c>
      <c r="F137" s="2" t="str">
        <f>VLOOKUP(D137, 'FULL REFERENCE'!A:B, 2, FALSE)</f>
        <v>Management of schizophrenia using generic anti-psychotic medications and psychosocial treatment</v>
      </c>
      <c r="G137" s="2" t="s">
        <v>1060</v>
      </c>
      <c r="H137" s="1"/>
      <c r="I137" s="2" t="s">
        <v>919</v>
      </c>
      <c r="J137" s="2"/>
      <c r="K137" s="2">
        <v>82.57</v>
      </c>
      <c r="L137" s="2">
        <v>45413.499999999993</v>
      </c>
      <c r="M137" s="2">
        <f t="shared" si="45"/>
        <v>45413.499999999993</v>
      </c>
      <c r="N137" s="128">
        <f t="shared" si="46"/>
        <v>72911.142885735055</v>
      </c>
      <c r="O137" s="128">
        <f t="shared" si="41"/>
        <v>77431.633744650637</v>
      </c>
      <c r="P137" s="218">
        <f t="shared" si="42"/>
        <v>140.78478862663752</v>
      </c>
      <c r="Q137" s="130">
        <v>0.2</v>
      </c>
      <c r="R137" s="220">
        <f t="shared" si="47"/>
        <v>0.30000000000000004</v>
      </c>
      <c r="S137" s="125">
        <f>'IHME prevalence'!G146</f>
        <v>32752.580426699998</v>
      </c>
      <c r="T137" s="128">
        <f t="shared" si="43"/>
        <v>507217162.35848957</v>
      </c>
      <c r="U137" s="218">
        <f t="shared" si="44"/>
        <v>922213.02246998099</v>
      </c>
    </row>
    <row r="138" spans="3:24" ht="28.8" hidden="1">
      <c r="C138" s="1" t="s">
        <v>1332</v>
      </c>
      <c r="D138" s="1" t="s">
        <v>767</v>
      </c>
      <c r="E138" s="1" t="str">
        <f>VLOOKUP(F138, 'FULL REFERENCE'!F:G, 2, FALSE)</f>
        <v>Screening and brief alcohol intervention</v>
      </c>
      <c r="F138" s="2" t="str">
        <f>VLOOKUP(D138, 'FULL REFERENCE'!A:B, 2, FALSE)</f>
        <v>Screening and brief intervention for alcohol use disorders</v>
      </c>
      <c r="G138" s="2" t="s">
        <v>1061</v>
      </c>
      <c r="H138" s="1"/>
      <c r="I138" s="2" t="s">
        <v>919</v>
      </c>
      <c r="J138" s="2"/>
      <c r="K138" s="2">
        <v>3.61</v>
      </c>
      <c r="L138" s="2">
        <v>1985.5</v>
      </c>
      <c r="M138" s="2">
        <f t="shared" si="45"/>
        <v>1985.5</v>
      </c>
      <c r="N138" s="128">
        <f t="shared" si="46"/>
        <v>3187.7101346433765</v>
      </c>
      <c r="O138" s="128">
        <f t="shared" si="41"/>
        <v>3385.3481629912658</v>
      </c>
      <c r="P138" s="218">
        <f t="shared" si="42"/>
        <v>6.1551784781659382</v>
      </c>
      <c r="Q138" s="130">
        <v>0.2</v>
      </c>
      <c r="R138" s="220">
        <f t="shared" si="47"/>
        <v>0.30000000000000004</v>
      </c>
      <c r="S138" s="125">
        <f>'IHME prevalence'!G147</f>
        <v>213202.97149600001</v>
      </c>
      <c r="T138" s="128">
        <f t="shared" si="43"/>
        <v>144353257.57965258</v>
      </c>
      <c r="U138" s="218">
        <f t="shared" si="44"/>
        <v>262460.46832664107</v>
      </c>
    </row>
    <row r="139" spans="3:24" ht="43.2" hidden="1">
      <c r="C139" s="1" t="s">
        <v>1332</v>
      </c>
      <c r="D139" s="1" t="s">
        <v>770</v>
      </c>
      <c r="E139" s="135" t="str">
        <f>VLOOKUP(F139, 'FULL REFERENCE'!F:G, 2, FALSE)</f>
        <v>Exercise programs</v>
      </c>
      <c r="F139" s="2" t="str">
        <f>VLOOKUP(D139, 'FULL REFERENCE'!A:B, 2, FALSE)</f>
        <v>Exercise programs for upper extremity injuries and disorders</v>
      </c>
      <c r="G139" s="2" t="s">
        <v>1064</v>
      </c>
      <c r="H139" s="2"/>
      <c r="I139" s="2" t="s">
        <v>919</v>
      </c>
      <c r="J139" s="2"/>
      <c r="K139" s="2">
        <v>5.2529935346168033</v>
      </c>
      <c r="L139" s="2">
        <v>2889.1464440392419</v>
      </c>
      <c r="M139" s="2">
        <f t="shared" si="45"/>
        <v>2889.1464440392419</v>
      </c>
      <c r="N139" s="128">
        <f t="shared" si="46"/>
        <v>4638.5098968183147</v>
      </c>
      <c r="O139" s="128">
        <f t="shared" si="41"/>
        <v>4926.0975104210502</v>
      </c>
      <c r="P139" s="218">
        <f t="shared" si="42"/>
        <v>8.9565409280382724</v>
      </c>
      <c r="Q139" s="130">
        <v>0.2</v>
      </c>
      <c r="R139" s="220">
        <f t="shared" si="47"/>
        <v>0.30000000000000004</v>
      </c>
      <c r="T139" s="128">
        <f t="shared" si="43"/>
        <v>0</v>
      </c>
      <c r="U139" s="218">
        <f t="shared" si="44"/>
        <v>0</v>
      </c>
    </row>
    <row r="140" spans="3:24" ht="57.6" hidden="1">
      <c r="C140" s="1" t="s">
        <v>1332</v>
      </c>
      <c r="D140" s="1" t="s">
        <v>771</v>
      </c>
      <c r="E140" s="138" t="str">
        <f>VLOOKUP(F140, 'FULL REFERENCE'!F:G, 2, FALSE)</f>
        <v>Primary prevention of osteoporosis</v>
      </c>
      <c r="F140" s="2" t="str">
        <f>VLOOKUP(D140, 'FULL REFERENCE'!A:B, 2, FALSE)</f>
        <v>Calcium and vitamin D supplementation for primary prevention of osteoporosis in high-risk individuals</v>
      </c>
      <c r="G140" s="2" t="s">
        <v>1065</v>
      </c>
      <c r="H140" s="2"/>
      <c r="I140" s="2" t="s">
        <v>919</v>
      </c>
      <c r="J140" s="2"/>
      <c r="K140" s="2">
        <v>7.6419917665766146</v>
      </c>
      <c r="L140" s="2">
        <v>4203.0954716171382</v>
      </c>
      <c r="M140" s="2">
        <f t="shared" si="45"/>
        <v>4203.0954716171382</v>
      </c>
      <c r="N140" s="128">
        <f t="shared" si="46"/>
        <v>6748.0483665311667</v>
      </c>
      <c r="O140" s="128">
        <f t="shared" si="41"/>
        <v>7166.4273652560996</v>
      </c>
      <c r="P140" s="218">
        <f t="shared" si="42"/>
        <v>13.029867936829271</v>
      </c>
      <c r="Q140" s="130">
        <v>0.2</v>
      </c>
      <c r="R140" s="220">
        <f t="shared" si="47"/>
        <v>0.30000000000000004</v>
      </c>
      <c r="S140" s="125">
        <f>'IHME prevalence'!E383</f>
        <v>346305.95595700003</v>
      </c>
      <c r="T140" s="128">
        <f t="shared" si="43"/>
        <v>496355295.90428376</v>
      </c>
      <c r="U140" s="218">
        <f t="shared" si="44"/>
        <v>902464.17437142506</v>
      </c>
    </row>
    <row r="141" spans="3:24" ht="57.6" hidden="1">
      <c r="C141" s="1" t="s">
        <v>1332</v>
      </c>
      <c r="D141" s="1" t="s">
        <v>777</v>
      </c>
      <c r="E141" s="138" t="str">
        <f>VLOOKUP(F141, 'FULL REFERENCE'!F:G, 2, FALSE)</f>
        <v>Screening for congenital hearing loss</v>
      </c>
      <c r="F141" s="2" t="str">
        <f>VLOOKUP(D141, 'FULL REFERENCE'!A:B, 2, FALSE)</f>
        <v>Targeted screening for congenital hearing loss in high-risk children using otoacoustic emissions testing</v>
      </c>
      <c r="G141" s="2" t="s">
        <v>1070</v>
      </c>
      <c r="H141" s="2" t="s">
        <v>1071</v>
      </c>
      <c r="I141" s="2" t="s">
        <v>919</v>
      </c>
      <c r="J141" s="2"/>
      <c r="K141" s="2"/>
      <c r="L141" s="2">
        <v>30.843021994351353</v>
      </c>
      <c r="M141" s="6">
        <v>16963.662096893244</v>
      </c>
      <c r="N141" s="128">
        <f>M141</f>
        <v>16963.662096893244</v>
      </c>
      <c r="O141" s="128">
        <f>N141</f>
        <v>16963.662096893244</v>
      </c>
      <c r="P141" s="218">
        <f t="shared" si="42"/>
        <v>30.843021994351353</v>
      </c>
      <c r="Q141" s="130">
        <v>0.05</v>
      </c>
      <c r="R141" s="220">
        <f t="shared" si="47"/>
        <v>0.15000000000000002</v>
      </c>
      <c r="S141" s="124">
        <f>'IHME prevalence'!G75</f>
        <v>2502957.8382999999</v>
      </c>
      <c r="T141" s="128">
        <f t="shared" si="43"/>
        <v>2122966550.584578</v>
      </c>
      <c r="U141" s="218">
        <f t="shared" si="44"/>
        <v>3859939.1828810512</v>
      </c>
    </row>
    <row r="142" spans="3:24" ht="28.8" hidden="1">
      <c r="C142" s="1" t="s">
        <v>1332</v>
      </c>
      <c r="D142" s="1" t="s">
        <v>819</v>
      </c>
      <c r="E142" s="138" t="str">
        <f>VLOOKUP(F142, 'FULL REFERENCE'!F:G, 2, FALSE)</f>
        <v>Dental extraction</v>
      </c>
      <c r="F142" s="2" t="str">
        <f>VLOOKUP(D142, 'FULL REFERENCE'!A:B, 2, FALSE)</f>
        <v>Dental extraction</v>
      </c>
      <c r="G142" s="2" t="s">
        <v>1106</v>
      </c>
      <c r="H142" s="1"/>
      <c r="I142" s="2" t="s">
        <v>919</v>
      </c>
      <c r="J142" s="2"/>
      <c r="K142" s="2">
        <v>16.122124895711178</v>
      </c>
      <c r="L142" s="2">
        <v>8867.1686926411476</v>
      </c>
      <c r="M142" s="2">
        <f>L142</f>
        <v>8867.1686926411476</v>
      </c>
      <c r="N142" s="128">
        <f>(M142*0.7*Salary_CIV_cost_uplift)+(M142*0.3)</f>
        <v>14236.194161231248</v>
      </c>
      <c r="O142" s="128">
        <f t="shared" ref="O142:O144" si="48">N142*1.062</f>
        <v>15118.838199227586</v>
      </c>
      <c r="P142" s="218">
        <f t="shared" si="42"/>
        <v>27.48879672586834</v>
      </c>
      <c r="Q142" s="130">
        <v>0.05</v>
      </c>
      <c r="R142" s="220">
        <f t="shared" si="47"/>
        <v>0.15000000000000002</v>
      </c>
      <c r="S142" s="125">
        <f>SUM('IHME prevalence'!E190:E191)</f>
        <v>7821329.79483</v>
      </c>
      <c r="T142" s="128">
        <f t="shared" si="43"/>
        <v>5912470983.5416336</v>
      </c>
      <c r="U142" s="218">
        <f t="shared" si="44"/>
        <v>10749947.24280297</v>
      </c>
      <c r="W142" s="116">
        <v>7657710760.8199997</v>
      </c>
      <c r="X142" s="112" t="s">
        <v>1147</v>
      </c>
    </row>
    <row r="143" spans="3:24" ht="28.8" hidden="1">
      <c r="C143" s="1" t="s">
        <v>1332</v>
      </c>
      <c r="D143" s="1" t="s">
        <v>820</v>
      </c>
      <c r="E143" s="138" t="str">
        <f>VLOOKUP(F143, 'FULL REFERENCE'!F:G, 2, FALSE)</f>
        <v>Drainage of dental abscess</v>
      </c>
      <c r="F143" s="2" t="str">
        <f>VLOOKUP(D143, 'FULL REFERENCE'!A:B, 2, FALSE)</f>
        <v>Drainage of dental abscess</v>
      </c>
      <c r="G143" s="2" t="s">
        <v>1107</v>
      </c>
      <c r="H143" s="1"/>
      <c r="I143" s="2" t="s">
        <v>919</v>
      </c>
      <c r="J143" s="2"/>
      <c r="K143" s="2">
        <v>16.122124895711178</v>
      </c>
      <c r="L143" s="2">
        <v>8867.1686926411476</v>
      </c>
      <c r="M143" s="2">
        <f>L143</f>
        <v>8867.1686926411476</v>
      </c>
      <c r="N143" s="128">
        <f>(M143*0.7*Salary_CIV_cost_uplift)+(M143*0.3)</f>
        <v>14236.194161231248</v>
      </c>
      <c r="O143" s="128">
        <f t="shared" si="48"/>
        <v>15118.838199227586</v>
      </c>
      <c r="P143" s="218">
        <f t="shared" si="42"/>
        <v>27.48879672586834</v>
      </c>
      <c r="Q143" s="130">
        <v>0.05</v>
      </c>
      <c r="R143" s="220">
        <f t="shared" si="47"/>
        <v>0.15000000000000002</v>
      </c>
      <c r="S143" s="125">
        <f>S142</f>
        <v>7821329.79483</v>
      </c>
      <c r="T143" s="128">
        <f t="shared" si="43"/>
        <v>5912470983.5416336</v>
      </c>
      <c r="U143" s="218">
        <f t="shared" si="44"/>
        <v>10749947.24280297</v>
      </c>
    </row>
    <row r="144" spans="3:24" ht="28.8" hidden="1">
      <c r="C144" s="1" t="s">
        <v>1332</v>
      </c>
      <c r="D144" s="1" t="s">
        <v>821</v>
      </c>
      <c r="E144" s="138" t="str">
        <f>VLOOKUP(F144, 'FULL REFERENCE'!F:G, 2, FALSE)</f>
        <v>Drainage of superficial abscess</v>
      </c>
      <c r="F144" s="2" t="str">
        <f>VLOOKUP(D144, 'FULL REFERENCE'!A:B, 2, FALSE)</f>
        <v>Drainage of superficial abscess</v>
      </c>
      <c r="G144" s="2" t="s">
        <v>1108</v>
      </c>
      <c r="H144" s="1"/>
      <c r="I144" s="2" t="s">
        <v>919</v>
      </c>
      <c r="J144" s="2"/>
      <c r="K144" s="2">
        <v>16.122124895711178</v>
      </c>
      <c r="L144" s="2">
        <v>8867.1686926411476</v>
      </c>
      <c r="M144" s="2">
        <f>L144</f>
        <v>8867.1686926411476</v>
      </c>
      <c r="N144" s="128">
        <f>(M144*0.7*Salary_CIV_cost_uplift)+(M144*0.3)</f>
        <v>14236.194161231248</v>
      </c>
      <c r="O144" s="128">
        <f t="shared" si="48"/>
        <v>15118.838199227586</v>
      </c>
      <c r="P144" s="218">
        <f t="shared" si="42"/>
        <v>27.48879672586834</v>
      </c>
      <c r="Q144" s="130">
        <v>0.2</v>
      </c>
      <c r="R144" s="220">
        <f t="shared" si="47"/>
        <v>0.30000000000000004</v>
      </c>
      <c r="S144" s="125">
        <f>'IHME prevalence'!G65</f>
        <v>87364.015732100001</v>
      </c>
      <c r="T144" s="128">
        <f t="shared" si="43"/>
        <v>264168483.65767863</v>
      </c>
      <c r="U144" s="218">
        <f t="shared" si="44"/>
        <v>480306.33392305207</v>
      </c>
    </row>
    <row r="145" spans="3:24" ht="28.8" hidden="1">
      <c r="C145" s="1" t="s">
        <v>916</v>
      </c>
      <c r="D145" s="1" t="s">
        <v>636</v>
      </c>
      <c r="E145" s="138" t="str">
        <f>VLOOKUP(F145, 'FULL REFERENCE'!F:G, 2, FALSE)</f>
        <v>Care for neonatal sepsis, pneumonia, meningitis</v>
      </c>
      <c r="F145" s="2" t="str">
        <f>VLOOKUP(D145, 'FULL REFERENCE'!A:B, 2, FALSE)</f>
        <v>Management of neonatal sepsis, pneumonia, and meningitis using injectable and oral antibiotics</v>
      </c>
      <c r="G145" s="1" t="s">
        <v>937</v>
      </c>
      <c r="H145" s="1" t="s">
        <v>938</v>
      </c>
      <c r="I145" s="1" t="s">
        <v>893</v>
      </c>
      <c r="J145" s="1"/>
      <c r="K145" s="1">
        <v>2.0885911092222216</v>
      </c>
      <c r="L145" s="1">
        <v>1148.7251100722219</v>
      </c>
      <c r="M145" s="26">
        <v>996.89259000000004</v>
      </c>
      <c r="N145" s="128">
        <f>M145</f>
        <v>996.89259000000004</v>
      </c>
      <c r="O145" s="128">
        <f>N145</f>
        <v>996.89259000000004</v>
      </c>
      <c r="P145" s="218">
        <f t="shared" si="42"/>
        <v>1.812531981818182</v>
      </c>
      <c r="Q145" s="7">
        <v>0.24</v>
      </c>
      <c r="R145" s="163">
        <v>0.8</v>
      </c>
      <c r="S145" s="125">
        <f>'IHME prevalence'!E308</f>
        <v>30254.644028499999</v>
      </c>
      <c r="T145" s="128">
        <f t="shared" si="43"/>
        <v>7238551.3068238553</v>
      </c>
      <c r="U145" s="218">
        <f t="shared" si="44"/>
        <v>13161.002376043372</v>
      </c>
      <c r="V145" t="s">
        <v>922</v>
      </c>
      <c r="W145" s="116">
        <v>34351661891.669998</v>
      </c>
      <c r="X145" s="112" t="s">
        <v>1155</v>
      </c>
    </row>
    <row r="146" spans="3:24" ht="28.8" hidden="1">
      <c r="C146" s="1" t="s">
        <v>1332</v>
      </c>
      <c r="D146" s="1" t="s">
        <v>822</v>
      </c>
      <c r="E146" s="135" t="str">
        <f>VLOOKUP(F146, 'FULL REFERENCE'!F:G, 2, FALSE)</f>
        <v>Non-displaced fractures management</v>
      </c>
      <c r="F146" s="2" t="str">
        <f>VLOOKUP(D146, 'FULL REFERENCE'!A:B, 2, FALSE)</f>
        <v>Management of non-displaced fractures</v>
      </c>
      <c r="G146" s="2" t="s">
        <v>1109</v>
      </c>
      <c r="H146" s="1"/>
      <c r="I146" s="2" t="s">
        <v>919</v>
      </c>
      <c r="J146" s="2"/>
      <c r="K146" s="2">
        <v>16.122124895711178</v>
      </c>
      <c r="L146" s="2">
        <v>8867.1686926411476</v>
      </c>
      <c r="M146" s="1">
        <f t="shared" ref="M146:M168" si="49">L146</f>
        <v>8867.1686926411476</v>
      </c>
      <c r="N146" s="128">
        <f t="shared" ref="N146:N168" si="50">(M146*0.7*Salary_CIV_cost_uplift)+(M146*0.3)</f>
        <v>14236.194161231248</v>
      </c>
      <c r="O146" s="128">
        <f t="shared" ref="O146:O168" si="51">N146*1.062</f>
        <v>15118.838199227586</v>
      </c>
      <c r="P146" s="218">
        <f t="shared" si="42"/>
        <v>27.48879672586834</v>
      </c>
      <c r="Q146" s="130">
        <v>0.2</v>
      </c>
      <c r="R146" s="220">
        <f t="shared" ref="R146:R151" si="52">Q146+increase_in_actual_to_target_coverage_for_NCDs</f>
        <v>0.30000000000000004</v>
      </c>
      <c r="T146" s="128">
        <f t="shared" si="43"/>
        <v>0</v>
      </c>
      <c r="U146" s="218">
        <f t="shared" si="44"/>
        <v>0</v>
      </c>
    </row>
    <row r="147" spans="3:24" ht="28.8" hidden="1">
      <c r="C147" s="1" t="s">
        <v>1332</v>
      </c>
      <c r="D147" s="1" t="s">
        <v>824</v>
      </c>
      <c r="E147" s="135" t="str">
        <f>VLOOKUP(F147, 'FULL REFERENCE'!F:G, 2, FALSE)</f>
        <v>Suturing laceration</v>
      </c>
      <c r="F147" s="2" t="str">
        <f>VLOOKUP(D147, 'FULL REFERENCE'!A:B, 2, FALSE)</f>
        <v>Suturing laceration</v>
      </c>
      <c r="G147" s="2" t="s">
        <v>1110</v>
      </c>
      <c r="H147" s="1"/>
      <c r="I147" s="2" t="s">
        <v>919</v>
      </c>
      <c r="J147" s="2"/>
      <c r="K147" s="2">
        <v>16.122124895711178</v>
      </c>
      <c r="L147" s="2">
        <v>8867.1686926411476</v>
      </c>
      <c r="M147" s="1">
        <f t="shared" si="49"/>
        <v>8867.1686926411476</v>
      </c>
      <c r="N147" s="128">
        <f t="shared" si="50"/>
        <v>14236.194161231248</v>
      </c>
      <c r="O147" s="128">
        <f t="shared" si="51"/>
        <v>15118.838199227586</v>
      </c>
      <c r="P147" s="218">
        <f t="shared" si="42"/>
        <v>27.48879672586834</v>
      </c>
      <c r="Q147" s="130">
        <v>0.2</v>
      </c>
      <c r="R147" s="220">
        <f t="shared" si="52"/>
        <v>0.30000000000000004</v>
      </c>
      <c r="T147" s="128">
        <f t="shared" si="43"/>
        <v>0</v>
      </c>
      <c r="U147" s="218">
        <f t="shared" si="44"/>
        <v>0</v>
      </c>
    </row>
    <row r="148" spans="3:24" ht="28.8" hidden="1">
      <c r="C148" s="1" t="s">
        <v>1332</v>
      </c>
      <c r="D148" s="1" t="s">
        <v>825</v>
      </c>
      <c r="E148" s="135" t="str">
        <f>VLOOKUP(F148, 'FULL REFERENCE'!F:G, 2, FALSE)</f>
        <v>Treatment of caries</v>
      </c>
      <c r="F148" s="2" t="str">
        <f>VLOOKUP(D148, 'FULL REFERENCE'!A:B, 2, FALSE)</f>
        <v>Treatment of caries</v>
      </c>
      <c r="G148" s="2" t="s">
        <v>1111</v>
      </c>
      <c r="H148" s="1"/>
      <c r="I148" s="2" t="s">
        <v>919</v>
      </c>
      <c r="J148" s="2"/>
      <c r="K148" s="2">
        <v>16.122124895711178</v>
      </c>
      <c r="L148" s="2">
        <v>8867.1686926411476</v>
      </c>
      <c r="M148" s="1">
        <f t="shared" si="49"/>
        <v>8867.1686926411476</v>
      </c>
      <c r="N148" s="128">
        <f t="shared" si="50"/>
        <v>14236.194161231248</v>
      </c>
      <c r="O148" s="128">
        <f t="shared" si="51"/>
        <v>15118.838199227586</v>
      </c>
      <c r="P148" s="218">
        <f t="shared" si="42"/>
        <v>27.48879672586834</v>
      </c>
      <c r="Q148" s="130">
        <v>0.2</v>
      </c>
      <c r="R148" s="220">
        <f t="shared" si="52"/>
        <v>0.30000000000000004</v>
      </c>
      <c r="S148" s="125">
        <f>S143</f>
        <v>7821329.79483</v>
      </c>
      <c r="T148" s="128">
        <f t="shared" si="43"/>
        <v>23649883934.166534</v>
      </c>
      <c r="U148" s="218">
        <f t="shared" si="44"/>
        <v>42999788.97121188</v>
      </c>
    </row>
    <row r="149" spans="3:24" ht="86.4" hidden="1">
      <c r="C149" s="1" t="s">
        <v>1332</v>
      </c>
      <c r="D149" s="1" t="s">
        <v>797</v>
      </c>
      <c r="E149" s="138" t="str">
        <f>VLOOKUP(F149, 'FULL REFERENCE'!F:G, 2, FALSE)</f>
        <v>Basic management of MNIs and disorders</v>
      </c>
      <c r="F149" s="2" t="str">
        <f>VLOOKUP(D149, 'FULL REFERENCE'!A:B, 2, FALSE)</f>
        <v>Basic management of musculoskeletal and neurological injuries and disorders, such as prescription of simple exercises and sling or cast provision</v>
      </c>
      <c r="G149" s="2" t="s">
        <v>1085</v>
      </c>
      <c r="H149" s="1"/>
      <c r="I149" s="2" t="s">
        <v>919</v>
      </c>
      <c r="J149" s="2"/>
      <c r="K149" s="2">
        <v>5.2529935346168033</v>
      </c>
      <c r="L149" s="2">
        <v>2889.1464440392419</v>
      </c>
      <c r="M149" s="1">
        <f t="shared" si="49"/>
        <v>2889.1464440392419</v>
      </c>
      <c r="N149" s="128">
        <f t="shared" si="50"/>
        <v>4638.5098968183147</v>
      </c>
      <c r="O149" s="128">
        <f t="shared" si="51"/>
        <v>4926.0975104210502</v>
      </c>
      <c r="P149" s="218">
        <f t="shared" si="42"/>
        <v>8.9565409280382724</v>
      </c>
      <c r="Q149" s="130">
        <v>0.2</v>
      </c>
      <c r="R149" s="220">
        <f t="shared" si="52"/>
        <v>0.30000000000000004</v>
      </c>
      <c r="S149" s="125">
        <f>'IHME prevalence'!E383</f>
        <v>346305.95595700003</v>
      </c>
      <c r="T149" s="128">
        <f t="shared" si="43"/>
        <v>341187381.49675196</v>
      </c>
      <c r="U149" s="218">
        <f t="shared" si="44"/>
        <v>620340.69363045809</v>
      </c>
    </row>
    <row r="150" spans="3:24" ht="43.2" hidden="1">
      <c r="C150" s="1" t="s">
        <v>1332</v>
      </c>
      <c r="D150" s="1" t="s">
        <v>798</v>
      </c>
      <c r="E150" s="135" t="str">
        <f>VLOOKUP(F150, 'FULL REFERENCE'!F:G, 2, FALSE)</f>
        <v>Review of prosthetics, orthotics, and splints</v>
      </c>
      <c r="F150" s="2" t="str">
        <f>VLOOKUP(D150, 'FULL REFERENCE'!A:B, 2, FALSE)</f>
        <v>Review of prosthetics, orthotics, and splints, with referral to hospital if indicated</v>
      </c>
      <c r="G150" s="2" t="s">
        <v>1086</v>
      </c>
      <c r="H150" s="1"/>
      <c r="I150" s="2" t="s">
        <v>919</v>
      </c>
      <c r="J150" s="2"/>
      <c r="K150" s="2">
        <v>5.2529935346168033</v>
      </c>
      <c r="L150" s="2">
        <v>2889.1464440392419</v>
      </c>
      <c r="M150" s="1">
        <f t="shared" si="49"/>
        <v>2889.1464440392419</v>
      </c>
      <c r="N150" s="128">
        <f t="shared" si="50"/>
        <v>4638.5098968183147</v>
      </c>
      <c r="O150" s="128">
        <f t="shared" si="51"/>
        <v>4926.0975104210502</v>
      </c>
      <c r="P150" s="218">
        <f t="shared" si="42"/>
        <v>8.9565409280382724</v>
      </c>
      <c r="Q150" s="130">
        <v>0.2</v>
      </c>
      <c r="R150" s="220">
        <f t="shared" si="52"/>
        <v>0.30000000000000004</v>
      </c>
      <c r="T150" s="128">
        <f t="shared" si="43"/>
        <v>0</v>
      </c>
      <c r="U150" s="218">
        <f t="shared" si="44"/>
        <v>0</v>
      </c>
      <c r="V150" t="s">
        <v>1990</v>
      </c>
    </row>
    <row r="151" spans="3:24" ht="72" hidden="1">
      <c r="C151" s="1" t="s">
        <v>1332</v>
      </c>
      <c r="D151" s="1" t="s">
        <v>832</v>
      </c>
      <c r="E151" s="138" t="str">
        <f>VLOOKUP(F151, 'FULL REFERENCE'!F:G, 2, FALSE)</f>
        <v>Psychosocial support and counseling</v>
      </c>
      <c r="F151" s="2" t="str">
        <f>VLOOKUP(D151, 'FULL REFERENCE'!A:B, 2, FALSE)</f>
        <v>Psychosocial support and counseling services for individuals with serious, complex, or life-limiting health problems and their caregivers</v>
      </c>
      <c r="G151" s="2" t="s">
        <v>1117</v>
      </c>
      <c r="H151" s="2"/>
      <c r="I151" s="2" t="s">
        <v>919</v>
      </c>
      <c r="J151" s="2"/>
      <c r="K151" s="2">
        <v>64.358947526679671</v>
      </c>
      <c r="L151" s="2">
        <v>35397.421139673817</v>
      </c>
      <c r="M151" s="1">
        <f t="shared" si="49"/>
        <v>35397.421139673817</v>
      </c>
      <c r="N151" s="128">
        <f t="shared" si="50"/>
        <v>56830.379303539623</v>
      </c>
      <c r="O151" s="128">
        <f t="shared" si="51"/>
        <v>60353.862820359085</v>
      </c>
      <c r="P151" s="218">
        <f t="shared" si="42"/>
        <v>109.73429603701652</v>
      </c>
      <c r="Q151" s="130">
        <v>0.1</v>
      </c>
      <c r="R151" s="220">
        <f t="shared" si="52"/>
        <v>0.2</v>
      </c>
      <c r="S151" s="125">
        <f>'IHME prevalence'!E359+'IHME prevalence'!E362</f>
        <v>1061971.842868</v>
      </c>
      <c r="T151" s="128">
        <f t="shared" si="43"/>
        <v>6409410292.3539209</v>
      </c>
      <c r="U151" s="218">
        <f t="shared" si="44"/>
        <v>11653473.258825311</v>
      </c>
    </row>
    <row r="152" spans="3:24" hidden="1">
      <c r="C152" s="1" t="s">
        <v>916</v>
      </c>
      <c r="D152" s="1" t="s">
        <v>637</v>
      </c>
      <c r="E152" s="138" t="str">
        <f>VLOOKUP(F152, 'FULL REFERENCE'!F:G, 2, FALSE)</f>
        <v>Pharmacological termination of pregnancy</v>
      </c>
      <c r="F152" s="2" t="str">
        <f>VLOOKUP(D152, 'FULL REFERENCE'!A:B, 2, FALSE)</f>
        <v>Pharmacological termination of pregnancy</v>
      </c>
      <c r="G152" s="1" t="s">
        <v>939</v>
      </c>
      <c r="H152" s="1"/>
      <c r="I152" s="1" t="s">
        <v>893</v>
      </c>
      <c r="J152" s="1"/>
      <c r="K152" s="1">
        <v>3.7862030200502059</v>
      </c>
      <c r="L152" s="1">
        <v>2082.4116610276133</v>
      </c>
      <c r="M152" s="1">
        <f t="shared" si="49"/>
        <v>2082.4116610276133</v>
      </c>
      <c r="N152" s="128">
        <f t="shared" si="50"/>
        <v>3343.3013126956789</v>
      </c>
      <c r="O152" s="128">
        <f t="shared" si="51"/>
        <v>3550.5859940828113</v>
      </c>
      <c r="P152" s="218">
        <f t="shared" si="42"/>
        <v>6.4556108983323846</v>
      </c>
      <c r="Q152" s="130">
        <v>0.5</v>
      </c>
      <c r="R152" s="163">
        <v>0.8</v>
      </c>
      <c r="S152" s="125">
        <f>'IHME prevalence'!E412</f>
        <v>583.51485814199998</v>
      </c>
      <c r="T152" s="128">
        <f t="shared" si="43"/>
        <v>1035909.8413291018</v>
      </c>
      <c r="U152" s="218">
        <f t="shared" si="44"/>
        <v>1883.472438780185</v>
      </c>
    </row>
    <row r="153" spans="3:24" hidden="1">
      <c r="C153" s="1" t="s">
        <v>1956</v>
      </c>
      <c r="D153" s="1" t="s">
        <v>644</v>
      </c>
      <c r="E153" s="138" t="str">
        <f>VLOOKUP(F153, 'FULL REFERENCE'!F:G, 2, FALSE)</f>
        <v>PMTCT of HIV (Option B+) and syphilis</v>
      </c>
      <c r="F153" s="1" t="str">
        <f>VLOOKUP(D153, 'FULL REFERENCE'!A:B, 2, FALSE)</f>
        <v>PMTCT of HIV (Option B+) and syphilis</v>
      </c>
      <c r="G153" s="1" t="s">
        <v>908</v>
      </c>
      <c r="H153" s="1"/>
      <c r="I153" s="1" t="s">
        <v>869</v>
      </c>
      <c r="J153" s="1"/>
      <c r="K153" s="1">
        <v>254.60902660160465</v>
      </c>
      <c r="L153" s="1">
        <v>140034.96463088255</v>
      </c>
      <c r="M153" s="1">
        <f t="shared" si="49"/>
        <v>140034.96463088255</v>
      </c>
      <c r="N153" s="128">
        <f t="shared" si="50"/>
        <v>224825.42229075349</v>
      </c>
      <c r="O153" s="128">
        <f t="shared" si="51"/>
        <v>238764.59847278023</v>
      </c>
      <c r="P153" s="218">
        <f t="shared" si="42"/>
        <v>434.1174517686913</v>
      </c>
      <c r="Q153" s="7">
        <v>0.7</v>
      </c>
      <c r="R153" s="163">
        <v>0.8</v>
      </c>
      <c r="S153" s="125">
        <f>'Population cible'!C81</f>
        <v>25000</v>
      </c>
      <c r="T153" s="128">
        <f t="shared" si="43"/>
        <v>4178380473.273654</v>
      </c>
      <c r="U153" s="218">
        <f t="shared" si="44"/>
        <v>7597055.4059520978</v>
      </c>
      <c r="V153" t="s">
        <v>890</v>
      </c>
    </row>
    <row r="154" spans="3:24" hidden="1">
      <c r="C154" s="1" t="s">
        <v>916</v>
      </c>
      <c r="D154" s="1" t="s">
        <v>638</v>
      </c>
      <c r="E154" s="138" t="str">
        <f>VLOOKUP(F154, 'FULL REFERENCE'!F:G, 2, FALSE)</f>
        <v>Care for hypertensive disorders in pregnancy</v>
      </c>
      <c r="F154" s="2" t="str">
        <f>VLOOKUP(D154, 'FULL REFERENCE'!A:B, 2, FALSE)</f>
        <v>Screening and management of hypertensive disorders in pregnancy</v>
      </c>
      <c r="G154" s="1" t="s">
        <v>940</v>
      </c>
      <c r="H154" s="1" t="s">
        <v>938</v>
      </c>
      <c r="I154" s="1" t="s">
        <v>893</v>
      </c>
      <c r="J154" s="1"/>
      <c r="K154" s="1">
        <v>1.0838059076525397</v>
      </c>
      <c r="L154" s="1">
        <v>596.09324920889685</v>
      </c>
      <c r="M154" s="1">
        <f t="shared" si="49"/>
        <v>596.09324920889685</v>
      </c>
      <c r="N154" s="128">
        <f t="shared" si="50"/>
        <v>957.02467473971296</v>
      </c>
      <c r="O154" s="128">
        <f t="shared" si="51"/>
        <v>1016.3602045735752</v>
      </c>
      <c r="P154" s="218">
        <f t="shared" si="42"/>
        <v>1.8479276446792277</v>
      </c>
      <c r="Q154" s="145">
        <v>5.3325999999999992E-4</v>
      </c>
      <c r="R154" s="163">
        <v>0.8</v>
      </c>
      <c r="S154" s="125">
        <f>'IHME prevalence'!E303</f>
        <v>26175.682045000001</v>
      </c>
      <c r="T154" s="128">
        <f t="shared" si="43"/>
        <v>14186.807210077235</v>
      </c>
      <c r="U154" s="218">
        <f t="shared" si="44"/>
        <v>25.794194927413155</v>
      </c>
      <c r="V154" t="s">
        <v>936</v>
      </c>
    </row>
    <row r="155" spans="3:24" ht="28.8" hidden="1">
      <c r="C155" s="1" t="s">
        <v>916</v>
      </c>
      <c r="D155" s="1" t="s">
        <v>835</v>
      </c>
      <c r="E155" s="138" t="str">
        <f>VLOOKUP(F155, 'FULL REFERENCE'!F:G, 2, FALSE)</f>
        <v>Mass media for hand washing</v>
      </c>
      <c r="F155" s="2" t="str">
        <f>VLOOKUP(D155, 'FULL REFERENCE'!A:B, 2, FALSE)</f>
        <v>Mass media messages concerning awareness on handwashing and health effects of household air pollution</v>
      </c>
      <c r="G155" s="1" t="s">
        <v>950</v>
      </c>
      <c r="H155" s="1"/>
      <c r="I155" s="1" t="s">
        <v>875</v>
      </c>
      <c r="J155" s="1"/>
      <c r="K155" s="1">
        <v>0.2172769190119121</v>
      </c>
      <c r="L155" s="1">
        <v>119.50230545655165</v>
      </c>
      <c r="M155" s="1">
        <f t="shared" si="49"/>
        <v>119.50230545655165</v>
      </c>
      <c r="N155" s="128">
        <f t="shared" si="50"/>
        <v>191.86034259234356</v>
      </c>
      <c r="O155" s="128">
        <f t="shared" si="51"/>
        <v>203.75568383306887</v>
      </c>
      <c r="P155" s="218">
        <f t="shared" si="42"/>
        <v>0.37046487969648884</v>
      </c>
      <c r="Q155" s="130">
        <v>0.5</v>
      </c>
      <c r="R155" s="163">
        <v>0.8</v>
      </c>
      <c r="S155" s="125">
        <f>'Population cible'!C7</f>
        <v>24571045.52410252</v>
      </c>
      <c r="T155" s="128">
        <f t="shared" si="43"/>
        <v>2503245091.6284876</v>
      </c>
      <c r="U155" s="218">
        <f t="shared" si="44"/>
        <v>4551354.7120517958</v>
      </c>
    </row>
    <row r="156" spans="3:24" hidden="1">
      <c r="C156" s="1" t="s">
        <v>915</v>
      </c>
      <c r="D156" s="1" t="s">
        <v>704</v>
      </c>
      <c r="E156" s="135" t="str">
        <f>VLOOKUP(F156, 'FULL REFERENCE'!F:G, 2, FALSE)</f>
        <v>TB ACF and linkage to care</v>
      </c>
      <c r="F156" s="1" t="str">
        <f>VLOOKUP(D156, 'FULL REFERENCE'!A:B, 2, FALSE)</f>
        <v>Systematic identification of individuals with TB symptoms among high-risk groups and linkage to care (“active case finding”)</v>
      </c>
      <c r="G156" s="1" t="s">
        <v>909</v>
      </c>
      <c r="H156" s="1" t="s">
        <v>913</v>
      </c>
      <c r="I156" s="1"/>
      <c r="J156" s="1"/>
      <c r="K156" s="1">
        <v>272.9580220327901</v>
      </c>
      <c r="L156" s="1">
        <v>150126.91211803455</v>
      </c>
      <c r="M156" s="1">
        <f t="shared" si="49"/>
        <v>150126.91211803455</v>
      </c>
      <c r="N156" s="128">
        <f t="shared" si="50"/>
        <v>241027.9925667964</v>
      </c>
      <c r="O156" s="128">
        <f t="shared" si="51"/>
        <v>255971.7281059378</v>
      </c>
      <c r="P156" s="218">
        <f t="shared" si="42"/>
        <v>465.40314201079599</v>
      </c>
      <c r="Q156" s="141">
        <v>0.5</v>
      </c>
      <c r="R156" s="163">
        <v>0.8</v>
      </c>
      <c r="S156" s="125">
        <f>'Population cible'!C21</f>
        <v>36000</v>
      </c>
      <c r="T156" s="128">
        <f t="shared" si="43"/>
        <v>4607491105.9068804</v>
      </c>
      <c r="U156" s="218">
        <f t="shared" si="44"/>
        <v>8377256.5561943278</v>
      </c>
      <c r="V156" t="s">
        <v>1991</v>
      </c>
    </row>
    <row r="157" spans="3:24" hidden="1">
      <c r="C157" s="1" t="s">
        <v>1300</v>
      </c>
      <c r="D157" s="1" t="s">
        <v>734</v>
      </c>
      <c r="E157" s="138" t="str">
        <f>VLOOKUP(F157, 'FULL REFERENCE'!F:G, 2, FALSE)</f>
        <v>Non-malaria vector management</v>
      </c>
      <c r="F157" s="1" t="str">
        <f>VLOOKUP(D157, 'FULL REFERENCE'!A:B, 2, FALSE)</f>
        <v xml:space="preserve">Sustained vector management for Chagas disease, visceral leishmaniasis, dengue, and other nationally important causes of nonmalarial fever </v>
      </c>
      <c r="G157" s="1" t="s">
        <v>874</v>
      </c>
      <c r="H157" s="1"/>
      <c r="I157" s="1" t="s">
        <v>875</v>
      </c>
      <c r="J157" s="1"/>
      <c r="K157" s="1">
        <v>1.1373682469786397</v>
      </c>
      <c r="L157" s="1">
        <v>625.55253583825186</v>
      </c>
      <c r="M157" s="1">
        <f t="shared" si="49"/>
        <v>625.55253583825186</v>
      </c>
      <c r="N157" s="128">
        <f t="shared" si="50"/>
        <v>1004.3214093394406</v>
      </c>
      <c r="O157" s="128">
        <f t="shared" si="51"/>
        <v>1066.589336718486</v>
      </c>
      <c r="P157" s="218">
        <f t="shared" si="42"/>
        <v>1.9392533394881564</v>
      </c>
      <c r="Q157" s="130">
        <v>0.5</v>
      </c>
      <c r="R157" s="163">
        <v>0.8</v>
      </c>
      <c r="S157" s="125">
        <f>'IHME prevalence'!G123</f>
        <v>23.328497780300001</v>
      </c>
      <c r="T157" s="128">
        <f t="shared" si="43"/>
        <v>12440.963487064426</v>
      </c>
      <c r="U157" s="218">
        <f t="shared" si="44"/>
        <v>22.61993361284441</v>
      </c>
    </row>
    <row r="158" spans="3:24" hidden="1">
      <c r="C158" s="1" t="s">
        <v>916</v>
      </c>
      <c r="D158" s="1" t="s">
        <v>639</v>
      </c>
      <c r="E158" s="138" t="str">
        <f>VLOOKUP(F158, 'FULL REFERENCE'!F:G, 2, FALSE)</f>
        <v>Full supportive care for preterm newborns</v>
      </c>
      <c r="F158" s="2" t="str">
        <f>VLOOKUP(D158, 'FULL REFERENCE'!A:B, 2, FALSE)</f>
        <v>Full supportive care for preterm newborns</v>
      </c>
      <c r="G158" s="1" t="s">
        <v>941</v>
      </c>
      <c r="H158" s="1" t="s">
        <v>918</v>
      </c>
      <c r="I158" s="1" t="s">
        <v>873</v>
      </c>
      <c r="J158" s="1"/>
      <c r="K158" s="1">
        <v>80.319051204101015</v>
      </c>
      <c r="L158" s="1">
        <v>44175.47816225556</v>
      </c>
      <c r="M158" s="1">
        <f t="shared" si="49"/>
        <v>44175.47816225556</v>
      </c>
      <c r="N158" s="128">
        <f t="shared" si="50"/>
        <v>70923.505132480088</v>
      </c>
      <c r="O158" s="128">
        <f t="shared" si="51"/>
        <v>75320.762450693859</v>
      </c>
      <c r="P158" s="218">
        <f t="shared" si="42"/>
        <v>136.94684081944337</v>
      </c>
      <c r="Q158" s="130">
        <v>0.5</v>
      </c>
      <c r="R158" s="163">
        <v>0.8</v>
      </c>
      <c r="S158" s="125">
        <f>'IHME prevalence'!E306+'IHME prevalence'!E308</f>
        <v>376255.17220650002</v>
      </c>
      <c r="T158" s="128">
        <f t="shared" si="43"/>
        <v>14169913223.305349</v>
      </c>
      <c r="U158" s="218">
        <f t="shared" si="44"/>
        <v>25763478.58782791</v>
      </c>
    </row>
    <row r="159" spans="3:24" ht="86.4" hidden="1">
      <c r="C159" s="1" t="s">
        <v>1332</v>
      </c>
      <c r="D159" s="1" t="s">
        <v>772</v>
      </c>
      <c r="E159" s="135" t="str">
        <f>VLOOKUP(F159, 'FULL REFERENCE'!F:G, 2, FALSE)</f>
        <v>Elective surgery for orthopedic injuries</v>
      </c>
      <c r="F159" s="2" t="str">
        <f>VLOOKUP(D159, 'FULL REFERENCE'!A:B, 2, FALSE)</f>
        <v>Elective surgical repair of common orthopedic injuries (for example, meniscal and ligamentous tears) in individuals with severe functional limitation</v>
      </c>
      <c r="G159" s="2" t="s">
        <v>1066</v>
      </c>
      <c r="H159" s="2"/>
      <c r="I159" s="2" t="s">
        <v>1036</v>
      </c>
      <c r="J159" s="2"/>
      <c r="K159" s="2">
        <v>100.79047705176647</v>
      </c>
      <c r="L159" s="2">
        <v>55434.762378471562</v>
      </c>
      <c r="M159" s="1">
        <f t="shared" si="49"/>
        <v>55434.762378471562</v>
      </c>
      <c r="N159" s="128">
        <f t="shared" si="50"/>
        <v>89000.228579904884</v>
      </c>
      <c r="O159" s="128">
        <f t="shared" si="51"/>
        <v>94518.242751858998</v>
      </c>
      <c r="P159" s="218">
        <f t="shared" si="42"/>
        <v>171.85135045792546</v>
      </c>
      <c r="Q159" s="130">
        <v>0.2</v>
      </c>
      <c r="R159" s="220">
        <f t="shared" ref="R159:R167" si="53">Q159+increase_in_actual_to_target_coverage_for_NCDs</f>
        <v>0.30000000000000004</v>
      </c>
      <c r="T159" s="128">
        <f t="shared" si="43"/>
        <v>0</v>
      </c>
      <c r="U159" s="218">
        <f t="shared" si="44"/>
        <v>0</v>
      </c>
    </row>
    <row r="160" spans="3:24" ht="57.6" hidden="1">
      <c r="C160" s="1" t="s">
        <v>1332</v>
      </c>
      <c r="D160" s="1" t="s">
        <v>773</v>
      </c>
      <c r="E160" s="135" t="str">
        <f>VLOOKUP(F160, 'FULL REFERENCE'!F:G, 2, FALSE)</f>
        <v>Urgent surgery for orthopedic injuries</v>
      </c>
      <c r="F160" s="2" t="str">
        <f>VLOOKUP(D160, 'FULL REFERENCE'!A:B, 2, FALSE)</f>
        <v>Urgent, definitive surgical management of orthopedic injuries (for example, by open reduction and internal fixation)</v>
      </c>
      <c r="G160" s="2" t="s">
        <v>1067</v>
      </c>
      <c r="H160" s="2"/>
      <c r="I160" s="2" t="s">
        <v>1036</v>
      </c>
      <c r="J160" s="2"/>
      <c r="K160" s="2">
        <v>100.79047705176647</v>
      </c>
      <c r="L160" s="2">
        <v>55434.762378471562</v>
      </c>
      <c r="M160" s="1">
        <f t="shared" si="49"/>
        <v>55434.762378471562</v>
      </c>
      <c r="N160" s="128">
        <f t="shared" si="50"/>
        <v>89000.228579904884</v>
      </c>
      <c r="O160" s="128">
        <f t="shared" si="51"/>
        <v>94518.242751858998</v>
      </c>
      <c r="P160" s="218">
        <f t="shared" si="42"/>
        <v>171.85135045792546</v>
      </c>
      <c r="Q160" s="130">
        <v>0.2</v>
      </c>
      <c r="R160" s="220">
        <f t="shared" si="53"/>
        <v>0.30000000000000004</v>
      </c>
      <c r="T160" s="128">
        <f t="shared" si="43"/>
        <v>0</v>
      </c>
      <c r="U160" s="218">
        <f t="shared" si="44"/>
        <v>0</v>
      </c>
    </row>
    <row r="161" spans="1:24" ht="57.6" hidden="1">
      <c r="C161" s="1" t="s">
        <v>1332</v>
      </c>
      <c r="D161" s="1" t="s">
        <v>778</v>
      </c>
      <c r="E161" s="138" t="str">
        <f>VLOOKUP(F161, 'FULL REFERENCE'!F:G, 2, FALSE)</f>
        <v>Repair of cleft lip and cleft palate</v>
      </c>
      <c r="F161" s="2" t="str">
        <f>VLOOKUP(D161, 'FULL REFERENCE'!A:B, 2, FALSE)</f>
        <v>Repair of cleft lip and cleft palate</v>
      </c>
      <c r="G161" s="2" t="s">
        <v>1072</v>
      </c>
      <c r="H161" s="1"/>
      <c r="I161" s="2" t="s">
        <v>1036</v>
      </c>
      <c r="J161" s="2"/>
      <c r="K161" s="2">
        <v>200</v>
      </c>
      <c r="L161" s="2">
        <v>110000</v>
      </c>
      <c r="M161" s="1">
        <f t="shared" si="49"/>
        <v>110000</v>
      </c>
      <c r="N161" s="128">
        <f t="shared" si="50"/>
        <v>176604.43959243083</v>
      </c>
      <c r="O161" s="128">
        <f t="shared" si="51"/>
        <v>187553.91484716156</v>
      </c>
      <c r="P161" s="218">
        <f t="shared" si="42"/>
        <v>341.00711790393012</v>
      </c>
      <c r="Q161" s="130">
        <v>0.2</v>
      </c>
      <c r="R161" s="220">
        <f t="shared" si="53"/>
        <v>0.30000000000000004</v>
      </c>
      <c r="S161" s="125">
        <f>'IHME prevalence'!E386</f>
        <v>26623.7159302</v>
      </c>
      <c r="T161" s="128">
        <f t="shared" si="43"/>
        <v>998676430.09754992</v>
      </c>
      <c r="U161" s="218">
        <f t="shared" si="44"/>
        <v>1815775.3274500908</v>
      </c>
    </row>
    <row r="162" spans="1:24" ht="57.6" hidden="1">
      <c r="C162" s="1" t="s">
        <v>1332</v>
      </c>
      <c r="D162" s="1" t="s">
        <v>779</v>
      </c>
      <c r="E162" s="138" t="str">
        <f>VLOOKUP(F162, 'FULL REFERENCE'!F:G, 2, FALSE)</f>
        <v>Repair of club foot</v>
      </c>
      <c r="F162" s="2" t="str">
        <f>VLOOKUP(D162, 'FULL REFERENCE'!A:B, 2, FALSE)</f>
        <v>Repair of club foot</v>
      </c>
      <c r="G162" s="2" t="s">
        <v>1073</v>
      </c>
      <c r="H162" s="1"/>
      <c r="I162" s="2" t="s">
        <v>1036</v>
      </c>
      <c r="J162" s="2"/>
      <c r="K162" s="2">
        <v>200</v>
      </c>
      <c r="L162" s="2">
        <v>110000</v>
      </c>
      <c r="M162" s="1">
        <f t="shared" si="49"/>
        <v>110000</v>
      </c>
      <c r="N162" s="128">
        <f t="shared" si="50"/>
        <v>176604.43959243083</v>
      </c>
      <c r="O162" s="128">
        <f t="shared" si="51"/>
        <v>187553.91484716156</v>
      </c>
      <c r="P162" s="218">
        <f t="shared" si="42"/>
        <v>341.00711790393012</v>
      </c>
      <c r="Q162" s="130">
        <v>0.2</v>
      </c>
      <c r="R162" s="220">
        <f t="shared" si="53"/>
        <v>0.30000000000000004</v>
      </c>
      <c r="S162" s="125">
        <f>'IHME prevalence'!E391</f>
        <v>102199.34703800001</v>
      </c>
      <c r="T162" s="128">
        <f t="shared" si="43"/>
        <v>3833577526.3601136</v>
      </c>
      <c r="U162" s="218">
        <f t="shared" si="44"/>
        <v>6970140.9570183884</v>
      </c>
    </row>
    <row r="163" spans="1:24" ht="57.6" hidden="1">
      <c r="C163" s="1" t="s">
        <v>1332</v>
      </c>
      <c r="D163" s="1" t="s">
        <v>826</v>
      </c>
      <c r="E163" s="138" t="str">
        <f>VLOOKUP(F163, 'FULL REFERENCE'!F:G, 2, FALSE)</f>
        <v>Cataract extraction</v>
      </c>
      <c r="F163" s="2" t="str">
        <f>VLOOKUP(D163, 'FULL REFERENCE'!A:B, 2, FALSE)</f>
        <v>Cataract extraction and insertion of intraocular lens</v>
      </c>
      <c r="G163" s="2" t="s">
        <v>1112</v>
      </c>
      <c r="H163" s="1"/>
      <c r="I163" s="2" t="s">
        <v>1036</v>
      </c>
      <c r="J163" s="2"/>
      <c r="K163" s="2">
        <v>200</v>
      </c>
      <c r="L163" s="2">
        <v>110000</v>
      </c>
      <c r="M163" s="1">
        <f t="shared" si="49"/>
        <v>110000</v>
      </c>
      <c r="N163" s="128">
        <f t="shared" si="50"/>
        <v>176604.43959243083</v>
      </c>
      <c r="O163" s="128">
        <f t="shared" si="51"/>
        <v>187553.91484716156</v>
      </c>
      <c r="P163" s="218">
        <f t="shared" si="42"/>
        <v>341.00711790393012</v>
      </c>
      <c r="Q163" s="130">
        <v>0.2</v>
      </c>
      <c r="R163" s="220">
        <f t="shared" si="53"/>
        <v>0.30000000000000004</v>
      </c>
      <c r="S163" s="125">
        <f>'IHME prevalence'!E185</f>
        <v>193674.051106</v>
      </c>
      <c r="T163" s="128">
        <f t="shared" si="43"/>
        <v>7264865297.847908</v>
      </c>
      <c r="U163" s="218">
        <f t="shared" si="44"/>
        <v>13208845.996087106</v>
      </c>
    </row>
    <row r="164" spans="1:24" ht="57.6" hidden="1">
      <c r="C164" s="1" t="s">
        <v>1332</v>
      </c>
      <c r="D164" s="1" t="s">
        <v>827</v>
      </c>
      <c r="E164" s="138" t="str">
        <f>VLOOKUP(F164, 'FULL REFERENCE'!F:G, 2, FALSE)</f>
        <v>Repair of anorectal malformations</v>
      </c>
      <c r="F164" s="2" t="str">
        <f>VLOOKUP(D164, 'FULL REFERENCE'!A:B, 2, FALSE)</f>
        <v>Repair of anorectal malformations and Hirschsprung's Disease</v>
      </c>
      <c r="G164" s="2" t="s">
        <v>1113</v>
      </c>
      <c r="H164" s="1"/>
      <c r="I164" s="2" t="s">
        <v>1036</v>
      </c>
      <c r="J164" s="2"/>
      <c r="K164" s="2">
        <v>200</v>
      </c>
      <c r="L164" s="2">
        <v>110000</v>
      </c>
      <c r="M164" s="1">
        <f t="shared" si="49"/>
        <v>110000</v>
      </c>
      <c r="N164" s="128">
        <f t="shared" si="50"/>
        <v>176604.43959243083</v>
      </c>
      <c r="O164" s="128">
        <f t="shared" si="51"/>
        <v>187553.91484716156</v>
      </c>
      <c r="P164" s="218">
        <f t="shared" si="42"/>
        <v>341.00711790393012</v>
      </c>
      <c r="Q164" s="130">
        <v>0.2</v>
      </c>
      <c r="R164" s="220">
        <f t="shared" si="53"/>
        <v>0.30000000000000004</v>
      </c>
      <c r="S164" s="125">
        <f>'IHME prevalence'!E393</f>
        <v>42490.210121399999</v>
      </c>
      <c r="T164" s="128">
        <f t="shared" si="43"/>
        <v>1593841050.1894119</v>
      </c>
      <c r="U164" s="218">
        <f t="shared" si="44"/>
        <v>2897892.8185262033</v>
      </c>
    </row>
    <row r="165" spans="1:24" ht="57.6" hidden="1">
      <c r="C165" s="1" t="s">
        <v>1332</v>
      </c>
      <c r="D165" s="1" t="s">
        <v>828</v>
      </c>
      <c r="E165" s="138" t="str">
        <f>VLOOKUP(F165, 'FULL REFERENCE'!F:G, 2, FALSE)</f>
        <v>Repair of obstetric fistula</v>
      </c>
      <c r="F165" s="2" t="str">
        <f>VLOOKUP(D165, 'FULL REFERENCE'!A:B, 2, FALSE)</f>
        <v>Repair of obstetric fistula</v>
      </c>
      <c r="G165" s="2" t="s">
        <v>1114</v>
      </c>
      <c r="H165" s="1"/>
      <c r="I165" s="2" t="s">
        <v>1036</v>
      </c>
      <c r="J165" s="2"/>
      <c r="K165" s="2">
        <v>200</v>
      </c>
      <c r="L165" s="2">
        <v>110000</v>
      </c>
      <c r="M165" s="1">
        <f t="shared" si="49"/>
        <v>110000</v>
      </c>
      <c r="N165" s="128">
        <f t="shared" si="50"/>
        <v>176604.43959243083</v>
      </c>
      <c r="O165" s="128">
        <f t="shared" si="51"/>
        <v>187553.91484716156</v>
      </c>
      <c r="P165" s="218">
        <f t="shared" si="42"/>
        <v>341.00711790393012</v>
      </c>
      <c r="Q165" s="145">
        <f>0.7%*75%</f>
        <v>5.2499999999999995E-3</v>
      </c>
      <c r="R165" s="220">
        <f t="shared" si="53"/>
        <v>0.10525000000000001</v>
      </c>
      <c r="S165" s="125">
        <f>'Population cible'!C4</f>
        <v>1049902</v>
      </c>
      <c r="T165" s="128">
        <f t="shared" si="43"/>
        <v>1033794459.1057892</v>
      </c>
      <c r="U165" s="218">
        <f t="shared" si="44"/>
        <v>1879626.289283253</v>
      </c>
      <c r="V165" t="s">
        <v>1125</v>
      </c>
    </row>
    <row r="166" spans="1:24" ht="57.6" hidden="1">
      <c r="C166" s="1" t="s">
        <v>1332</v>
      </c>
      <c r="D166" s="1" t="s">
        <v>829</v>
      </c>
      <c r="E166" s="135" t="str">
        <f>VLOOKUP(F166, 'FULL REFERENCE'!F:G, 2, FALSE)</f>
        <v>Insertion of shunt for hydrocephalus</v>
      </c>
      <c r="F166" s="2" t="str">
        <f>VLOOKUP(D166, 'FULL REFERENCE'!A:B, 2, FALSE)</f>
        <v>Insertion of shunt for hydrocephalus</v>
      </c>
      <c r="G166" s="2" t="s">
        <v>1115</v>
      </c>
      <c r="H166" s="1"/>
      <c r="I166" s="2" t="s">
        <v>1036</v>
      </c>
      <c r="J166" s="2"/>
      <c r="K166" s="2">
        <v>200</v>
      </c>
      <c r="L166" s="2">
        <v>110000</v>
      </c>
      <c r="M166" s="1">
        <f t="shared" si="49"/>
        <v>110000</v>
      </c>
      <c r="N166" s="128">
        <f t="shared" si="50"/>
        <v>176604.43959243083</v>
      </c>
      <c r="O166" s="128">
        <f t="shared" si="51"/>
        <v>187553.91484716156</v>
      </c>
      <c r="P166" s="218">
        <f t="shared" si="42"/>
        <v>341.00711790393012</v>
      </c>
      <c r="Q166" s="130">
        <v>0.2</v>
      </c>
      <c r="R166" s="220">
        <f t="shared" si="53"/>
        <v>0.30000000000000004</v>
      </c>
      <c r="S166" s="125">
        <f>'IHME prevalence'!G145</f>
        <v>169.917452572</v>
      </c>
      <c r="T166" s="128">
        <f t="shared" si="43"/>
        <v>6373736.6861471012</v>
      </c>
      <c r="U166" s="218">
        <f t="shared" si="44"/>
        <v>11588.612156631094</v>
      </c>
    </row>
    <row r="167" spans="1:24" ht="57.6" hidden="1">
      <c r="C167" s="1" t="s">
        <v>1332</v>
      </c>
      <c r="D167" s="1" t="s">
        <v>830</v>
      </c>
      <c r="E167" s="135" t="str">
        <f>VLOOKUP(F167, 'FULL REFERENCE'!F:G, 2, FALSE)</f>
        <v>Surgery for trachomatous trichiasis</v>
      </c>
      <c r="F167" s="2" t="str">
        <f>VLOOKUP(D167, 'FULL REFERENCE'!A:B, 2, FALSE)</f>
        <v>Surgery for trachomatous trichiasis</v>
      </c>
      <c r="G167" s="2" t="s">
        <v>1116</v>
      </c>
      <c r="H167" s="1"/>
      <c r="I167" s="2" t="s">
        <v>1036</v>
      </c>
      <c r="J167" s="2"/>
      <c r="K167" s="2">
        <v>200</v>
      </c>
      <c r="L167" s="2">
        <v>110000</v>
      </c>
      <c r="M167" s="1">
        <f t="shared" si="49"/>
        <v>110000</v>
      </c>
      <c r="N167" s="128">
        <f t="shared" si="50"/>
        <v>176604.43959243083</v>
      </c>
      <c r="O167" s="128">
        <f t="shared" si="51"/>
        <v>187553.91484716156</v>
      </c>
      <c r="P167" s="218">
        <f t="shared" si="42"/>
        <v>341.00711790393012</v>
      </c>
      <c r="Q167" s="130">
        <v>0.2</v>
      </c>
      <c r="R167" s="220">
        <f t="shared" si="53"/>
        <v>0.30000000000000004</v>
      </c>
      <c r="T167" s="128">
        <f t="shared" si="43"/>
        <v>0</v>
      </c>
      <c r="U167" s="218">
        <f t="shared" si="44"/>
        <v>0</v>
      </c>
    </row>
    <row r="168" spans="1:24" hidden="1">
      <c r="C168" s="1" t="s">
        <v>915</v>
      </c>
      <c r="D168" s="1" t="s">
        <v>705</v>
      </c>
      <c r="E168" s="135" t="str">
        <f>VLOOKUP(F168, 'FULL REFERENCE'!F:G, 2, FALSE)</f>
        <v>Specialized TB services</v>
      </c>
      <c r="F168" s="1" t="str">
        <f>VLOOKUP(D168, 'FULL REFERENCE'!A:B, 2, FALSE)</f>
        <v>Specialized TB services, including management of MDR- and XDR-TB treatment failure and surgery for TB</v>
      </c>
      <c r="G168" s="1" t="s">
        <v>910</v>
      </c>
      <c r="H168" s="1" t="s">
        <v>847</v>
      </c>
      <c r="I168" s="1" t="s">
        <v>914</v>
      </c>
      <c r="J168" s="1"/>
      <c r="K168" s="1">
        <v>1864.30255997415</v>
      </c>
      <c r="L168" s="1">
        <v>1025366.4079857825</v>
      </c>
      <c r="M168" s="1">
        <f t="shared" si="49"/>
        <v>1025366.4079857825</v>
      </c>
      <c r="N168" s="128">
        <f t="shared" si="50"/>
        <v>1646220.5441748446</v>
      </c>
      <c r="O168" s="128">
        <f t="shared" si="51"/>
        <v>1748286.2179136851</v>
      </c>
      <c r="P168" s="218">
        <f t="shared" si="42"/>
        <v>3178.7022143885183</v>
      </c>
      <c r="Q168" s="130">
        <v>0.5</v>
      </c>
      <c r="R168" s="163">
        <v>0.8</v>
      </c>
      <c r="S168" s="125">
        <f>'Population cible'!C21</f>
        <v>36000</v>
      </c>
      <c r="T168" s="128">
        <f t="shared" si="43"/>
        <v>31469151922.446331</v>
      </c>
      <c r="U168" s="218">
        <f t="shared" si="44"/>
        <v>57216639.858993329</v>
      </c>
      <c r="V168" t="s">
        <v>911</v>
      </c>
      <c r="W168" s="119">
        <v>7027084.54</v>
      </c>
      <c r="X168" s="112" t="s">
        <v>1139</v>
      </c>
    </row>
    <row r="169" spans="1:24" ht="86.4" hidden="1">
      <c r="C169" s="1" t="s">
        <v>1332</v>
      </c>
      <c r="D169" s="1" t="s">
        <v>753</v>
      </c>
      <c r="E169" s="138" t="str">
        <f>VLOOKUP(F169, 'FULL REFERENCE'!F:G, 2, FALSE)</f>
        <v>Acute ventilatory failure management</v>
      </c>
      <c r="F169" s="2" t="str">
        <f>VLOOKUP(D169, 'FULL REFERENCE'!A:B, 2, FALSE)</f>
        <v>Management of acute ventilatory failure due to acute exacerbations of asthma and COPD; in COPD use of bilevel positive airway pressure preferred</v>
      </c>
      <c r="G169" s="2" t="s">
        <v>1031</v>
      </c>
      <c r="H169" s="23" t="s">
        <v>848</v>
      </c>
      <c r="I169" s="17" t="s">
        <v>1032</v>
      </c>
      <c r="J169" s="2"/>
      <c r="K169" s="2">
        <v>217.8898459511226</v>
      </c>
      <c r="L169" s="2">
        <v>119839.41527311743</v>
      </c>
      <c r="M169" s="26">
        <v>880000</v>
      </c>
      <c r="N169" s="128">
        <f>M169</f>
        <v>880000</v>
      </c>
      <c r="O169" s="128">
        <f>N169</f>
        <v>880000</v>
      </c>
      <c r="P169" s="218">
        <f t="shared" si="42"/>
        <v>1600</v>
      </c>
      <c r="Q169" s="130">
        <v>0.2</v>
      </c>
      <c r="R169" s="220">
        <f t="shared" ref="R169:R174" si="54">Q169+increase_in_actual_to_target_coverage_for_NCDs</f>
        <v>0.30000000000000004</v>
      </c>
      <c r="S169" s="125">
        <f>'IHME prevalence'!E208</f>
        <v>396210.46682600002</v>
      </c>
      <c r="T169" s="128">
        <f t="shared" si="43"/>
        <v>69733042161.376007</v>
      </c>
      <c r="U169" s="218">
        <f t="shared" si="44"/>
        <v>126787349.38432001</v>
      </c>
      <c r="V169" t="s">
        <v>1046</v>
      </c>
    </row>
    <row r="170" spans="1:24" ht="43.2" hidden="1">
      <c r="C170" s="1" t="s">
        <v>1332</v>
      </c>
      <c r="D170" s="1" t="s">
        <v>754</v>
      </c>
      <c r="E170" s="138" t="str">
        <f>VLOOKUP(F170, 'FULL REFERENCE'!F:G, 2, FALSE)</f>
        <v>Retinopathy screening and treatment</v>
      </c>
      <c r="F170" s="2" t="str">
        <f>VLOOKUP(D170, 'FULL REFERENCE'!A:B, 2, FALSE)</f>
        <v>Retinopathy screening via telemedicine, followed by treatment using laser photocoagulation</v>
      </c>
      <c r="G170" s="2" t="s">
        <v>1033</v>
      </c>
      <c r="H170" s="23" t="s">
        <v>845</v>
      </c>
      <c r="I170" s="17"/>
      <c r="J170" s="2"/>
      <c r="K170" s="2">
        <v>12.527234689481087</v>
      </c>
      <c r="L170" s="2">
        <v>6889.9790792145977</v>
      </c>
      <c r="M170">
        <f>L170</f>
        <v>6889.9790792145977</v>
      </c>
      <c r="N170" s="128">
        <f t="shared" ref="N170:N176" si="55">(M170*0.7*Salary_CIV_cost_uplift)+(M170*0.3)</f>
        <v>11061.826309893331</v>
      </c>
      <c r="O170" s="128">
        <f t="shared" ref="O170:O176" si="56">N170*1.062</f>
        <v>11747.659541106719</v>
      </c>
      <c r="P170" s="218">
        <f t="shared" si="42"/>
        <v>21.359380983830398</v>
      </c>
      <c r="Q170" s="7">
        <v>0.2</v>
      </c>
      <c r="R170" s="220">
        <f t="shared" si="54"/>
        <v>0.30000000000000004</v>
      </c>
      <c r="S170" s="125">
        <f>SUM('IHME prevalence'!E407:E408)</f>
        <v>840328.69450139999</v>
      </c>
      <c r="T170" s="128">
        <f t="shared" si="43"/>
        <v>1974379081.125025</v>
      </c>
      <c r="U170" s="218">
        <f t="shared" si="44"/>
        <v>3589780.1475000456</v>
      </c>
    </row>
    <row r="171" spans="1:24" ht="57.6" hidden="1">
      <c r="C171" s="1" t="s">
        <v>1332</v>
      </c>
      <c r="D171" s="1" t="s">
        <v>755</v>
      </c>
      <c r="E171" s="135" t="str">
        <f>VLOOKUP(F171, 'FULL REFERENCE'!F:G, 2, FALSE)</f>
        <v>Percutaneous coronary intervention</v>
      </c>
      <c r="F171" s="2" t="str">
        <f>VLOOKUP(D171, 'FULL REFERENCE'!A:B, 2, FALSE)</f>
        <v>Use of percutaneous coronary intervention for acute myocardial infarction where resources permit</v>
      </c>
      <c r="G171" s="2" t="s">
        <v>1034</v>
      </c>
      <c r="H171" s="23" t="s">
        <v>848</v>
      </c>
      <c r="I171" s="17" t="s">
        <v>1007</v>
      </c>
      <c r="J171" s="2"/>
      <c r="K171" s="2" t="s">
        <v>1035</v>
      </c>
      <c r="L171" s="2"/>
      <c r="M171" s="1">
        <f>L171</f>
        <v>0</v>
      </c>
      <c r="N171" s="128">
        <f t="shared" si="55"/>
        <v>0</v>
      </c>
      <c r="O171" s="128">
        <f t="shared" si="56"/>
        <v>0</v>
      </c>
      <c r="P171" s="218">
        <f t="shared" si="42"/>
        <v>0</v>
      </c>
      <c r="Q171" s="130">
        <v>0.5</v>
      </c>
      <c r="R171" s="220">
        <f t="shared" si="54"/>
        <v>0.6</v>
      </c>
      <c r="T171" s="128">
        <f t="shared" si="43"/>
        <v>0</v>
      </c>
      <c r="U171" s="218">
        <f t="shared" si="44"/>
        <v>0</v>
      </c>
      <c r="V171" t="s">
        <v>1039</v>
      </c>
    </row>
    <row r="172" spans="1:24" ht="115.2" hidden="1">
      <c r="C172" s="1" t="s">
        <v>1332</v>
      </c>
      <c r="D172" s="1" t="s">
        <v>758</v>
      </c>
      <c r="E172" s="138" t="str">
        <f>VLOOKUP(F172, 'FULL REFERENCE'!F:G, 2, FALSE)</f>
        <v>Treatment of early stage breast cancer</v>
      </c>
      <c r="F172" s="2" t="str">
        <f>VLOOKUP(D172, 'FULL REFERENCE'!A:B, 2, FALSE)</f>
        <v>Treatment of early stage breast cancer with appropriate multimodal approaches (including generic chemotherapy), with curative intent, for cases that are detected by clinical examination at health centers and first-level hospitals</v>
      </c>
      <c r="G172" s="2" t="s">
        <v>1052</v>
      </c>
      <c r="H172" s="2"/>
      <c r="I172" s="2" t="s">
        <v>1036</v>
      </c>
      <c r="J172" s="2"/>
      <c r="K172" s="2">
        <v>129.854341510739</v>
      </c>
      <c r="L172" s="2">
        <v>71419.887830906446</v>
      </c>
      <c r="M172" s="1">
        <f>L172</f>
        <v>71419.887830906446</v>
      </c>
      <c r="N172" s="128">
        <f t="shared" si="55"/>
        <v>114664.26605574094</v>
      </c>
      <c r="O172" s="128">
        <f t="shared" si="56"/>
        <v>121773.45055119689</v>
      </c>
      <c r="P172" s="218">
        <f t="shared" si="42"/>
        <v>221.40627372944888</v>
      </c>
      <c r="Q172" s="130">
        <v>0.1</v>
      </c>
      <c r="R172" s="220">
        <f t="shared" si="54"/>
        <v>0.2</v>
      </c>
      <c r="S172" s="125">
        <f>'IHME prevalence'!G15</f>
        <v>12190.0060644</v>
      </c>
      <c r="T172" s="128">
        <f t="shared" si="43"/>
        <v>148441910.07020038</v>
      </c>
      <c r="U172" s="218">
        <f t="shared" si="44"/>
        <v>269894.3819458189</v>
      </c>
    </row>
    <row r="173" spans="1:24" ht="115.2" hidden="1">
      <c r="C173" s="1" t="s">
        <v>1332</v>
      </c>
      <c r="D173" s="1" t="s">
        <v>759</v>
      </c>
      <c r="E173" s="150" t="str">
        <f>VLOOKUP(F173, 'FULL REFERENCE'!F:G, 2, FALSE)</f>
        <v>Treatment of early stage colorectal cancer</v>
      </c>
      <c r="F173" s="2" t="str">
        <f>VLOOKUP(D173, 'FULL REFERENCE'!A:B, 2, FALSE)</f>
        <v>Treatment of early stage colorectal cancer with appropriate multimodal approaches (including generic chemotherapy), with curative intent, for cases that are detected by clinical examination at health centers and first-level hospitals</v>
      </c>
      <c r="G173" s="2" t="s">
        <v>1053</v>
      </c>
      <c r="H173" s="2"/>
      <c r="I173" s="2" t="s">
        <v>1036</v>
      </c>
      <c r="J173" s="2"/>
      <c r="K173" s="2">
        <v>688.50801270442935</v>
      </c>
      <c r="L173" s="2">
        <v>378679.40698743612</v>
      </c>
      <c r="M173" s="1">
        <f>L173</f>
        <v>378679.40698743612</v>
      </c>
      <c r="N173" s="128">
        <f t="shared" si="55"/>
        <v>607967.85869281983</v>
      </c>
      <c r="O173" s="128">
        <f t="shared" si="56"/>
        <v>645661.86593177472</v>
      </c>
      <c r="P173" s="218">
        <f t="shared" si="42"/>
        <v>1173.9306653304996</v>
      </c>
      <c r="Q173" s="130">
        <v>0.1</v>
      </c>
      <c r="R173" s="220">
        <f t="shared" si="54"/>
        <v>0.2</v>
      </c>
      <c r="S173" s="125">
        <f>'IHME prevalence'!G19</f>
        <v>1773.7102306899999</v>
      </c>
      <c r="T173" s="128">
        <f t="shared" si="43"/>
        <v>114521705.71695839</v>
      </c>
      <c r="U173" s="218">
        <f t="shared" si="44"/>
        <v>208221.28312174251</v>
      </c>
    </row>
    <row r="174" spans="1:24" ht="115.2" hidden="1">
      <c r="C174" s="1" t="s">
        <v>1332</v>
      </c>
      <c r="D174" s="1" t="s">
        <v>760</v>
      </c>
      <c r="E174" s="135" t="str">
        <f>VLOOKUP(F174, 'FULL REFERENCE'!F:G, 2, FALSE)</f>
        <v>Treatment of early-stage childhood cancers</v>
      </c>
      <c r="F174" s="2" t="str">
        <f>VLOOKUP(D174, 'FULL REFERENCE'!A:B, 2, FALSE)</f>
        <v xml:space="preserve">Treatment of early-stage childhood cancers (such as Burkitt and Hodgkin lymphoma, acute lymphoblastic leukemia, retinoblastoma, and Wilms tumor) with curative intent in pediatric cancer units or hospitals </v>
      </c>
      <c r="G174" s="2" t="s">
        <v>1054</v>
      </c>
      <c r="H174" s="2"/>
      <c r="I174" s="2" t="s">
        <v>1036</v>
      </c>
      <c r="J174" s="2"/>
      <c r="K174" s="2">
        <v>2459.96135682262</v>
      </c>
      <c r="L174" s="2">
        <v>1352978.7462524411</v>
      </c>
      <c r="M174" s="1">
        <f>L174</f>
        <v>1352978.7462524411</v>
      </c>
      <c r="N174" s="128">
        <f t="shared" si="55"/>
        <v>2172200.4842034727</v>
      </c>
      <c r="O174" s="128">
        <f t="shared" si="56"/>
        <v>2306876.9142240882</v>
      </c>
      <c r="P174" s="218">
        <f t="shared" si="42"/>
        <v>4194.321662225615</v>
      </c>
      <c r="Q174" s="130">
        <v>0.1</v>
      </c>
      <c r="R174" s="220">
        <f t="shared" si="54"/>
        <v>0.2</v>
      </c>
      <c r="T174" s="128">
        <f t="shared" si="43"/>
        <v>0</v>
      </c>
      <c r="U174" s="218">
        <f t="shared" si="44"/>
        <v>0</v>
      </c>
    </row>
    <row r="175" spans="1:24" hidden="1">
      <c r="A175" s="1" t="s">
        <v>2298</v>
      </c>
      <c r="C175" s="1" t="s">
        <v>916</v>
      </c>
      <c r="D175" s="155" t="s">
        <v>1992</v>
      </c>
      <c r="E175" s="138" t="s">
        <v>1745</v>
      </c>
      <c r="G175" s="26" t="s">
        <v>948</v>
      </c>
      <c r="H175" s="1" t="s">
        <v>918</v>
      </c>
      <c r="I175" s="1" t="s">
        <v>919</v>
      </c>
      <c r="J175" s="1"/>
      <c r="K175" s="1"/>
      <c r="L175" s="1"/>
      <c r="M175">
        <v>6018.3914400000003</v>
      </c>
      <c r="N175" s="128">
        <f t="shared" si="55"/>
        <v>9662.4967955371158</v>
      </c>
      <c r="O175" s="128">
        <f t="shared" si="56"/>
        <v>10261.571596860418</v>
      </c>
      <c r="P175" s="218">
        <f t="shared" si="42"/>
        <v>18.657402903382579</v>
      </c>
      <c r="Q175" s="130">
        <v>0.5</v>
      </c>
      <c r="R175" s="163">
        <v>0.8</v>
      </c>
      <c r="S175" s="125">
        <f>'IHME prevalence'!E301</f>
        <v>8278.3716438800002</v>
      </c>
      <c r="T175" s="128">
        <f t="shared" si="43"/>
        <v>42474551.664546847</v>
      </c>
      <c r="U175" s="218">
        <f t="shared" si="44"/>
        <v>77226.45757190336</v>
      </c>
      <c r="V175" t="s">
        <v>928</v>
      </c>
    </row>
    <row r="176" spans="1:24" ht="111" hidden="1" customHeight="1">
      <c r="B176" s="1" t="s">
        <v>970</v>
      </c>
      <c r="C176" s="1" t="s">
        <v>1332</v>
      </c>
      <c r="D176" s="1"/>
      <c r="E176" s="135" t="s">
        <v>1746</v>
      </c>
      <c r="G176" s="6" t="s">
        <v>1037</v>
      </c>
      <c r="H176" s="23" t="s">
        <v>848</v>
      </c>
      <c r="I176" s="17" t="s">
        <v>1038</v>
      </c>
      <c r="J176" s="1"/>
      <c r="K176" s="1"/>
      <c r="L176" s="1"/>
      <c r="M176" s="24">
        <v>273000</v>
      </c>
      <c r="N176" s="128">
        <f t="shared" si="55"/>
        <v>438300.1091703056</v>
      </c>
      <c r="O176" s="128">
        <f t="shared" si="56"/>
        <v>465474.71593886457</v>
      </c>
      <c r="P176" s="218">
        <f t="shared" si="42"/>
        <v>846.3176653433901</v>
      </c>
      <c r="Q176" s="130">
        <v>0.2</v>
      </c>
      <c r="R176" s="220">
        <f>Q176+increase_in_actual_to_target_coverage_for_NCDs</f>
        <v>0.30000000000000004</v>
      </c>
      <c r="S176" s="125">
        <f>'IHME prevalence'!G91</f>
        <v>1642665.98116</v>
      </c>
      <c r="T176" s="128">
        <f t="shared" si="43"/>
        <v>152923896192.57745</v>
      </c>
      <c r="U176" s="218">
        <f t="shared" si="44"/>
        <v>278043447.62286812</v>
      </c>
      <c r="V176" s="2" t="s">
        <v>1047</v>
      </c>
    </row>
  </sheetData>
  <autoFilter ref="B1:V176" xr:uid="{5E146626-F676-2D41-909C-CD3FFD590CA9}">
    <filterColumn colId="3">
      <filters>
        <filter val="Condoms and hormonal contraceptives"/>
        <filter val="Insertion and removal of contraceptives"/>
      </filters>
    </filterColumn>
    <sortState xmlns:xlrd2="http://schemas.microsoft.com/office/spreadsheetml/2017/richdata2" ref="B2:V176">
      <sortCondition ref="D1:D176"/>
    </sortState>
  </autoFilter>
  <hyperlinks>
    <hyperlink ref="V114" r:id="rId1" xr:uid="{272C5C01-3BFB-BA4B-8A00-7D1B900E6941}"/>
  </hyperlinks>
  <pageMargins left="0.7" right="0.7" top="0.75" bottom="0.75" header="0.3" footer="0.3"/>
  <pageSetup orientation="portrait" horizontalDpi="0" verticalDpi="0"/>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DD4DB2-EF12-A743-A0AB-5AA6426FB2F0}">
          <x14:formula1>
            <xm:f>'[Scoping data matrix HSPT CIV_v2_FR.xlsx]Lists'!#REF!</xm:f>
          </x14:formula1>
          <xm:sqref>J100:J176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43E12-F5E8-1441-8F1E-3A9FDAE39B4E}">
  <dimension ref="B3:E140"/>
  <sheetViews>
    <sheetView zoomScale="130" zoomScaleNormal="130" workbookViewId="0">
      <selection activeCell="C23" sqref="C23"/>
    </sheetView>
  </sheetViews>
  <sheetFormatPr defaultColWidth="11.5546875" defaultRowHeight="14.4"/>
  <cols>
    <col min="2" max="2" width="38.33203125" bestFit="1" customWidth="1"/>
    <col min="3" max="3" width="10.6640625" style="128" customWidth="1"/>
    <col min="4" max="4" width="19" customWidth="1"/>
  </cols>
  <sheetData>
    <row r="3" spans="2:4">
      <c r="B3" s="138" t="s">
        <v>1376</v>
      </c>
      <c r="C3" s="139" t="s">
        <v>1380</v>
      </c>
      <c r="D3" s="138" t="s">
        <v>1453</v>
      </c>
    </row>
    <row r="4" spans="2:4">
      <c r="B4" t="s">
        <v>1379</v>
      </c>
      <c r="C4" s="128">
        <v>1049902</v>
      </c>
      <c r="D4" t="s">
        <v>1381</v>
      </c>
    </row>
    <row r="5" spans="2:4">
      <c r="B5" t="s">
        <v>1382</v>
      </c>
      <c r="C5" s="128">
        <v>1582755</v>
      </c>
      <c r="D5" t="s">
        <v>1383</v>
      </c>
    </row>
    <row r="6" spans="2:4">
      <c r="B6" t="s">
        <v>1446</v>
      </c>
      <c r="C6" s="128">
        <v>3988676.8687941195</v>
      </c>
      <c r="D6" t="s">
        <v>1381</v>
      </c>
    </row>
    <row r="7" spans="2:4">
      <c r="B7" t="s">
        <v>1447</v>
      </c>
      <c r="C7" s="128">
        <v>24571045.52410252</v>
      </c>
      <c r="D7" t="s">
        <v>1381</v>
      </c>
    </row>
    <row r="8" spans="2:4">
      <c r="B8" t="s">
        <v>1457</v>
      </c>
      <c r="C8" s="128">
        <f>SUM('UN population'!X2+'UN population'!AE2)*1000</f>
        <v>7052425</v>
      </c>
      <c r="D8" t="s">
        <v>1383</v>
      </c>
    </row>
    <row r="9" spans="2:4">
      <c r="B9" t="s">
        <v>1451</v>
      </c>
      <c r="C9" s="128">
        <v>17400000</v>
      </c>
      <c r="D9" t="s">
        <v>1452</v>
      </c>
    </row>
    <row r="10" spans="2:4">
      <c r="B10" t="s">
        <v>1464</v>
      </c>
      <c r="C10" s="128">
        <v>2701695.27</v>
      </c>
      <c r="D10" t="s">
        <v>1381</v>
      </c>
    </row>
    <row r="11" spans="2:4" s="1" customFormat="1">
      <c r="B11" s="1" t="s">
        <v>1461</v>
      </c>
      <c r="C11" s="128">
        <v>1330685.73</v>
      </c>
      <c r="D11" s="1" t="s">
        <v>1462</v>
      </c>
    </row>
    <row r="12" spans="2:4" s="1" customFormat="1">
      <c r="B12" s="1" t="s">
        <v>1463</v>
      </c>
      <c r="C12" s="128">
        <v>4032381</v>
      </c>
    </row>
    <row r="13" spans="2:4">
      <c r="B13" t="s">
        <v>1454</v>
      </c>
      <c r="C13" s="140">
        <v>2032559.8102189782</v>
      </c>
      <c r="D13" s="1" t="s">
        <v>1381</v>
      </c>
    </row>
    <row r="14" spans="2:4">
      <c r="B14" t="s">
        <v>1459</v>
      </c>
      <c r="C14" s="128">
        <v>1100</v>
      </c>
      <c r="D14" s="142" t="s">
        <v>1460</v>
      </c>
    </row>
    <row r="15" spans="2:4">
      <c r="B15" t="s">
        <v>1465</v>
      </c>
      <c r="C15" s="128">
        <v>48937</v>
      </c>
      <c r="D15" s="143" t="s">
        <v>1466</v>
      </c>
    </row>
    <row r="16" spans="2:4">
      <c r="B16" t="s">
        <v>1958</v>
      </c>
      <c r="C16" s="128" t="s">
        <v>1384</v>
      </c>
      <c r="D16" s="143" t="s">
        <v>1384</v>
      </c>
    </row>
    <row r="17" spans="2:5">
      <c r="B17" t="s">
        <v>1467</v>
      </c>
      <c r="C17" s="128">
        <v>500000</v>
      </c>
      <c r="D17" s="142" t="s">
        <v>1468</v>
      </c>
    </row>
    <row r="18" spans="2:5">
      <c r="B18" t="s">
        <v>1960</v>
      </c>
      <c r="C18" s="1">
        <f>('UN population'!AF2)*1000</f>
        <v>3251654</v>
      </c>
    </row>
    <row r="19" spans="2:5">
      <c r="B19" t="s">
        <v>1969</v>
      </c>
      <c r="C19" s="128">
        <v>250000</v>
      </c>
      <c r="D19" s="142" t="s">
        <v>1970</v>
      </c>
    </row>
    <row r="20" spans="2:5" s="1" customFormat="1">
      <c r="B20" s="1" t="s">
        <v>1971</v>
      </c>
      <c r="C20" s="128">
        <f>SUM('UN population'!AN2/2)*1000</f>
        <v>5456809</v>
      </c>
      <c r="D20" s="142"/>
    </row>
    <row r="21" spans="2:5" s="1" customFormat="1">
      <c r="B21" s="1" t="s">
        <v>1988</v>
      </c>
      <c r="C21" s="128">
        <v>36000</v>
      </c>
      <c r="D21" s="142" t="s">
        <v>1989</v>
      </c>
    </row>
    <row r="22" spans="2:5">
      <c r="B22" t="s">
        <v>2272</v>
      </c>
      <c r="C22" s="128">
        <f>'UN population'!AK2*1000</f>
        <v>13240580</v>
      </c>
    </row>
    <row r="23" spans="2:5">
      <c r="B23" s="147" t="s">
        <v>1748</v>
      </c>
      <c r="C23" s="147" t="s">
        <v>1749</v>
      </c>
      <c r="D23" s="147"/>
      <c r="E23" s="147"/>
    </row>
    <row r="24" spans="2:5">
      <c r="B24" s="1" t="s">
        <v>1750</v>
      </c>
      <c r="C24" s="1" t="s">
        <v>1751</v>
      </c>
      <c r="D24" s="1"/>
      <c r="E24" s="1"/>
    </row>
    <row r="25" spans="2:5">
      <c r="B25" s="1" t="s">
        <v>1752</v>
      </c>
      <c r="C25" s="1" t="s">
        <v>1753</v>
      </c>
      <c r="D25" s="1"/>
      <c r="E25" s="1"/>
    </row>
    <row r="26" spans="2:5">
      <c r="B26" s="1" t="s">
        <v>1754</v>
      </c>
      <c r="C26" s="1" t="s">
        <v>1755</v>
      </c>
      <c r="D26" s="1"/>
      <c r="E26" s="1"/>
    </row>
    <row r="27" spans="2:5">
      <c r="B27" s="1" t="s">
        <v>1756</v>
      </c>
      <c r="C27" s="1" t="s">
        <v>1757</v>
      </c>
      <c r="D27" s="1"/>
      <c r="E27" s="1"/>
    </row>
    <row r="28" spans="2:5">
      <c r="B28" s="147" t="s">
        <v>1758</v>
      </c>
      <c r="C28" s="147" t="s">
        <v>1759</v>
      </c>
      <c r="D28" s="147"/>
      <c r="E28" s="147"/>
    </row>
    <row r="29" spans="2:5">
      <c r="B29" s="1" t="s">
        <v>1760</v>
      </c>
      <c r="C29" s="1" t="s">
        <v>1761</v>
      </c>
      <c r="D29" s="1"/>
      <c r="E29" s="1"/>
    </row>
    <row r="30" spans="2:5">
      <c r="B30" s="1" t="s">
        <v>1762</v>
      </c>
      <c r="C30" s="1" t="s">
        <v>1763</v>
      </c>
      <c r="D30" s="1"/>
      <c r="E30" s="1"/>
    </row>
    <row r="31" spans="2:5">
      <c r="B31" s="1" t="s">
        <v>1764</v>
      </c>
      <c r="C31" s="1" t="s">
        <v>1765</v>
      </c>
      <c r="D31" s="1"/>
      <c r="E31" s="1"/>
    </row>
    <row r="32" spans="2:5">
      <c r="B32" s="1" t="s">
        <v>1766</v>
      </c>
      <c r="C32" s="1" t="s">
        <v>1767</v>
      </c>
      <c r="D32" s="1"/>
      <c r="E32" s="1"/>
    </row>
    <row r="33" spans="2:5">
      <c r="B33" s="147" t="s">
        <v>1768</v>
      </c>
      <c r="C33" s="147" t="s">
        <v>1769</v>
      </c>
      <c r="D33" s="147"/>
      <c r="E33" s="147"/>
    </row>
    <row r="34" spans="2:5">
      <c r="B34" s="1" t="s">
        <v>1770</v>
      </c>
      <c r="C34" s="1" t="s">
        <v>1771</v>
      </c>
      <c r="D34" s="1"/>
      <c r="E34" s="1"/>
    </row>
    <row r="35" spans="2:5">
      <c r="B35" s="1" t="s">
        <v>1772</v>
      </c>
      <c r="C35" s="1" t="s">
        <v>1773</v>
      </c>
      <c r="D35" s="1"/>
      <c r="E35" s="1"/>
    </row>
    <row r="36" spans="2:5">
      <c r="B36" s="1" t="s">
        <v>1774</v>
      </c>
      <c r="C36" s="1" t="s">
        <v>1775</v>
      </c>
      <c r="D36" s="1"/>
      <c r="E36" s="1"/>
    </row>
    <row r="37" spans="2:5">
      <c r="B37" s="1" t="s">
        <v>1776</v>
      </c>
      <c r="C37" s="1" t="s">
        <v>1777</v>
      </c>
      <c r="D37" s="1"/>
      <c r="E37" s="1"/>
    </row>
    <row r="38" spans="2:5">
      <c r="B38" s="147" t="s">
        <v>1778</v>
      </c>
      <c r="C38" s="147" t="s">
        <v>1779</v>
      </c>
      <c r="D38" s="147"/>
      <c r="E38" s="147"/>
    </row>
    <row r="39" spans="2:5">
      <c r="B39" s="1" t="s">
        <v>1780</v>
      </c>
      <c r="C39" s="1" t="s">
        <v>1781</v>
      </c>
      <c r="D39" s="1"/>
      <c r="E39" s="1"/>
    </row>
    <row r="40" spans="2:5">
      <c r="B40" s="147" t="s">
        <v>1782</v>
      </c>
      <c r="C40" s="147" t="s">
        <v>1783</v>
      </c>
      <c r="D40" s="147"/>
      <c r="E40" s="147"/>
    </row>
    <row r="41" spans="2:5">
      <c r="B41" s="1" t="s">
        <v>1784</v>
      </c>
      <c r="C41" s="1" t="s">
        <v>1785</v>
      </c>
      <c r="D41" s="1"/>
      <c r="E41" s="1"/>
    </row>
    <row r="42" spans="2:5">
      <c r="B42" s="1" t="s">
        <v>1786</v>
      </c>
      <c r="C42" s="1" t="s">
        <v>1787</v>
      </c>
      <c r="D42" s="1"/>
      <c r="E42" s="1"/>
    </row>
    <row r="43" spans="2:5">
      <c r="B43" s="1" t="s">
        <v>1788</v>
      </c>
      <c r="C43" s="1" t="s">
        <v>1789</v>
      </c>
      <c r="D43" s="1"/>
      <c r="E43" s="1"/>
    </row>
    <row r="44" spans="2:5">
      <c r="B44" s="1" t="s">
        <v>1790</v>
      </c>
      <c r="C44" s="1" t="s">
        <v>1791</v>
      </c>
      <c r="D44" s="1"/>
      <c r="E44" s="1"/>
    </row>
    <row r="45" spans="2:5">
      <c r="B45" s="147" t="s">
        <v>1792</v>
      </c>
      <c r="C45" s="147" t="s">
        <v>1793</v>
      </c>
      <c r="D45" s="147"/>
      <c r="E45" s="147"/>
    </row>
    <row r="46" spans="2:5">
      <c r="B46" s="221" t="s">
        <v>1794</v>
      </c>
      <c r="C46" s="221"/>
      <c r="D46" s="221"/>
      <c r="E46" s="148"/>
    </row>
    <row r="47" spans="2:5">
      <c r="B47" s="1" t="s">
        <v>1795</v>
      </c>
      <c r="C47" s="1" t="s">
        <v>1796</v>
      </c>
      <c r="D47" s="1"/>
      <c r="E47" s="1"/>
    </row>
    <row r="48" spans="2:5">
      <c r="B48" s="1" t="s">
        <v>1797</v>
      </c>
      <c r="C48" s="1" t="s">
        <v>1798</v>
      </c>
      <c r="D48" s="1"/>
      <c r="E48" s="1"/>
    </row>
    <row r="49" spans="2:5">
      <c r="B49" s="1" t="s">
        <v>1799</v>
      </c>
      <c r="C49" s="1" t="s">
        <v>1800</v>
      </c>
      <c r="D49" s="1"/>
      <c r="E49" s="1"/>
    </row>
    <row r="50" spans="2:5">
      <c r="B50" s="1" t="s">
        <v>1801</v>
      </c>
      <c r="C50" s="1" t="s">
        <v>1802</v>
      </c>
      <c r="D50" s="1"/>
      <c r="E50" s="1"/>
    </row>
    <row r="51" spans="2:5">
      <c r="B51" s="221" t="s">
        <v>1803</v>
      </c>
      <c r="C51" s="221"/>
      <c r="D51" s="221"/>
      <c r="E51" s="148"/>
    </row>
    <row r="52" spans="2:5">
      <c r="B52" s="147" t="s">
        <v>1467</v>
      </c>
      <c r="C52" s="147" t="s">
        <v>1749</v>
      </c>
      <c r="D52" s="147"/>
      <c r="E52" s="147"/>
    </row>
    <row r="53" spans="2:5">
      <c r="B53" s="147" t="s">
        <v>1804</v>
      </c>
      <c r="C53" s="147" t="s">
        <v>1805</v>
      </c>
      <c r="D53" s="147"/>
      <c r="E53" s="147"/>
    </row>
    <row r="54" spans="2:5">
      <c r="B54" s="1" t="s">
        <v>1806</v>
      </c>
      <c r="C54" s="1" t="s">
        <v>1807</v>
      </c>
      <c r="D54" s="1"/>
      <c r="E54" s="1"/>
    </row>
    <row r="55" spans="2:5">
      <c r="B55" s="147" t="s">
        <v>1808</v>
      </c>
      <c r="C55" s="147" t="s">
        <v>1809</v>
      </c>
      <c r="D55" s="147"/>
      <c r="E55" s="147"/>
    </row>
    <row r="56" spans="2:5">
      <c r="B56" s="1" t="s">
        <v>1810</v>
      </c>
      <c r="C56" s="1" t="s">
        <v>1811</v>
      </c>
      <c r="D56" s="1"/>
      <c r="E56" s="1"/>
    </row>
    <row r="57" spans="2:5">
      <c r="B57" s="147" t="s">
        <v>1812</v>
      </c>
      <c r="C57" s="147" t="s">
        <v>1813</v>
      </c>
      <c r="D57" s="147"/>
      <c r="E57" s="147"/>
    </row>
    <row r="58" spans="2:5">
      <c r="B58" s="1" t="s">
        <v>1814</v>
      </c>
      <c r="C58" s="1" t="s">
        <v>1815</v>
      </c>
      <c r="D58" s="1"/>
      <c r="E58" s="1"/>
    </row>
    <row r="59" spans="2:5">
      <c r="B59" s="221" t="s">
        <v>1816</v>
      </c>
      <c r="C59" s="221"/>
      <c r="D59" s="221"/>
      <c r="E59" s="148"/>
    </row>
    <row r="60" spans="2:5">
      <c r="B60" s="147" t="s">
        <v>1817</v>
      </c>
      <c r="C60" s="147" t="s">
        <v>1811</v>
      </c>
      <c r="D60" s="147"/>
      <c r="E60" s="147"/>
    </row>
    <row r="61" spans="2:5">
      <c r="B61" s="1" t="s">
        <v>1818</v>
      </c>
      <c r="C61" s="1" t="s">
        <v>1819</v>
      </c>
      <c r="D61" s="1"/>
      <c r="E61" s="1"/>
    </row>
    <row r="62" spans="2:5">
      <c r="B62" s="1" t="s">
        <v>1820</v>
      </c>
      <c r="C62" s="1" t="s">
        <v>1821</v>
      </c>
      <c r="D62" s="1"/>
      <c r="E62" s="1"/>
    </row>
    <row r="63" spans="2:5">
      <c r="B63" s="1" t="s">
        <v>1822</v>
      </c>
      <c r="C63" s="1" t="s">
        <v>1823</v>
      </c>
      <c r="D63" s="1"/>
      <c r="E63" s="1"/>
    </row>
    <row r="64" spans="2:5">
      <c r="B64" s="1" t="s">
        <v>1824</v>
      </c>
      <c r="C64" s="1" t="s">
        <v>1825</v>
      </c>
      <c r="D64" s="1"/>
      <c r="E64" s="1"/>
    </row>
    <row r="65" spans="2:5">
      <c r="B65" s="147" t="s">
        <v>1826</v>
      </c>
      <c r="C65" s="147" t="s">
        <v>1827</v>
      </c>
      <c r="D65" s="147"/>
      <c r="E65" s="147"/>
    </row>
    <row r="66" spans="2:5">
      <c r="B66" s="1" t="s">
        <v>1818</v>
      </c>
      <c r="C66" s="1" t="s">
        <v>1828</v>
      </c>
      <c r="D66" s="1"/>
      <c r="E66" s="1"/>
    </row>
    <row r="67" spans="2:5">
      <c r="B67" s="1" t="s">
        <v>1820</v>
      </c>
      <c r="C67" s="1" t="s">
        <v>1829</v>
      </c>
      <c r="D67" s="1"/>
      <c r="E67" s="1"/>
    </row>
    <row r="68" spans="2:5">
      <c r="B68" s="1" t="s">
        <v>1822</v>
      </c>
      <c r="C68" s="1" t="s">
        <v>1830</v>
      </c>
      <c r="D68" s="1"/>
      <c r="E68" s="1"/>
    </row>
    <row r="69" spans="2:5">
      <c r="B69" s="1" t="s">
        <v>1824</v>
      </c>
      <c r="C69" s="1" t="s">
        <v>1831</v>
      </c>
      <c r="D69" s="1"/>
      <c r="E69" s="1"/>
    </row>
    <row r="70" spans="2:5">
      <c r="B70" s="147" t="s">
        <v>1832</v>
      </c>
      <c r="C70" s="147" t="s">
        <v>1833</v>
      </c>
      <c r="D70" s="147"/>
      <c r="E70" s="147"/>
    </row>
    <row r="71" spans="2:5">
      <c r="B71" s="1" t="s">
        <v>1834</v>
      </c>
      <c r="C71" s="1" t="s">
        <v>1835</v>
      </c>
      <c r="D71" s="1"/>
      <c r="E71" s="1"/>
    </row>
    <row r="72" spans="2:5">
      <c r="B72" s="1" t="s">
        <v>1836</v>
      </c>
      <c r="C72" s="1" t="s">
        <v>1837</v>
      </c>
      <c r="D72" s="1"/>
      <c r="E72" s="1"/>
    </row>
    <row r="73" spans="2:5">
      <c r="B73" s="1" t="s">
        <v>1838</v>
      </c>
      <c r="C73" s="1" t="s">
        <v>1839</v>
      </c>
      <c r="D73" s="1"/>
      <c r="E73" s="1"/>
    </row>
    <row r="74" spans="2:5">
      <c r="B74" s="1" t="s">
        <v>1840</v>
      </c>
      <c r="C74" s="1" t="s">
        <v>1841</v>
      </c>
      <c r="D74" s="1"/>
      <c r="E74" s="1"/>
    </row>
    <row r="75" spans="2:5">
      <c r="B75" s="147" t="s">
        <v>1842</v>
      </c>
      <c r="C75" s="147" t="s">
        <v>1843</v>
      </c>
      <c r="D75" s="147"/>
      <c r="E75" s="147"/>
    </row>
    <row r="76" spans="2:5">
      <c r="B76" s="1" t="s">
        <v>1844</v>
      </c>
      <c r="C76" s="1" t="s">
        <v>1843</v>
      </c>
      <c r="D76" s="1"/>
      <c r="E76" s="1"/>
    </row>
    <row r="77" spans="2:5">
      <c r="B77" s="1" t="s">
        <v>1845</v>
      </c>
      <c r="C77" s="1" t="s">
        <v>1846</v>
      </c>
      <c r="D77" s="1"/>
      <c r="E77" s="1"/>
    </row>
    <row r="78" spans="2:5">
      <c r="B78" s="221" t="s">
        <v>1847</v>
      </c>
      <c r="C78" s="221"/>
      <c r="D78" s="221"/>
      <c r="E78" s="148"/>
    </row>
    <row r="79" spans="2:5">
      <c r="B79" s="147" t="s">
        <v>1848</v>
      </c>
      <c r="C79" s="147" t="s">
        <v>1849</v>
      </c>
      <c r="D79" s="147"/>
      <c r="E79" s="147"/>
    </row>
    <row r="80" spans="2:5">
      <c r="B80" s="1" t="s">
        <v>1850</v>
      </c>
      <c r="C80" s="1" t="s">
        <v>1851</v>
      </c>
      <c r="D80" s="1"/>
      <c r="E80" s="1"/>
    </row>
    <row r="81" spans="2:5">
      <c r="B81" s="1" t="s">
        <v>1852</v>
      </c>
      <c r="C81" s="1">
        <v>25000</v>
      </c>
      <c r="D81" s="1"/>
      <c r="E81" s="1"/>
    </row>
    <row r="82" spans="2:5">
      <c r="B82" s="147" t="s">
        <v>1853</v>
      </c>
      <c r="C82" s="147" t="s">
        <v>1854</v>
      </c>
      <c r="D82" s="147"/>
      <c r="E82" s="147"/>
    </row>
    <row r="83" spans="2:5">
      <c r="B83" s="147" t="s">
        <v>1855</v>
      </c>
      <c r="C83" s="147" t="s">
        <v>1856</v>
      </c>
      <c r="D83" s="147"/>
      <c r="E83" s="147"/>
    </row>
    <row r="84" spans="2:5">
      <c r="B84" s="1" t="s">
        <v>1857</v>
      </c>
      <c r="C84" s="1" t="s">
        <v>1858</v>
      </c>
      <c r="D84" s="1"/>
      <c r="E84" s="1"/>
    </row>
    <row r="85" spans="2:5">
      <c r="B85" s="221" t="s">
        <v>1859</v>
      </c>
      <c r="C85" s="221"/>
      <c r="D85" s="221"/>
      <c r="E85" s="221"/>
    </row>
    <row r="86" spans="2:5">
      <c r="B86" s="1" t="s">
        <v>1860</v>
      </c>
      <c r="C86" s="1">
        <v>10893</v>
      </c>
      <c r="D86" s="1" t="s">
        <v>1861</v>
      </c>
      <c r="E86" s="1"/>
    </row>
    <row r="87" spans="2:5">
      <c r="B87" s="1" t="s">
        <v>1862</v>
      </c>
      <c r="C87" s="1" t="s">
        <v>1863</v>
      </c>
      <c r="D87" s="1" t="s">
        <v>1864</v>
      </c>
      <c r="E87" s="1"/>
    </row>
    <row r="88" spans="2:5">
      <c r="B88" s="1" t="s">
        <v>1865</v>
      </c>
      <c r="C88" s="1" t="s">
        <v>1866</v>
      </c>
      <c r="D88" s="1" t="s">
        <v>1867</v>
      </c>
      <c r="E88" s="1"/>
    </row>
    <row r="89" spans="2:5">
      <c r="B89" s="1" t="s">
        <v>1868</v>
      </c>
      <c r="C89" s="1" t="s">
        <v>1869</v>
      </c>
      <c r="D89" s="1" t="s">
        <v>1870</v>
      </c>
      <c r="E89" s="1"/>
    </row>
    <row r="90" spans="2:5">
      <c r="B90" s="1" t="s">
        <v>1871</v>
      </c>
      <c r="C90" s="1" t="s">
        <v>1872</v>
      </c>
      <c r="D90" s="1" t="s">
        <v>1873</v>
      </c>
      <c r="E90" s="1"/>
    </row>
    <row r="91" spans="2:5">
      <c r="B91" s="1" t="s">
        <v>1874</v>
      </c>
      <c r="C91" s="1" t="s">
        <v>1875</v>
      </c>
      <c r="D91" s="1" t="s">
        <v>1876</v>
      </c>
      <c r="E91" s="1"/>
    </row>
    <row r="92" spans="2:5">
      <c r="B92" s="221" t="s">
        <v>1877</v>
      </c>
      <c r="C92" s="221"/>
      <c r="D92" s="221"/>
      <c r="E92" s="221"/>
    </row>
    <row r="93" spans="2:5">
      <c r="B93" s="1" t="s">
        <v>1860</v>
      </c>
      <c r="C93" s="1">
        <v>29549</v>
      </c>
      <c r="D93" s="1" t="s">
        <v>1878</v>
      </c>
      <c r="E93" s="1"/>
    </row>
    <row r="94" spans="2:5">
      <c r="B94" s="1" t="s">
        <v>1862</v>
      </c>
      <c r="C94" s="1" t="s">
        <v>1879</v>
      </c>
      <c r="D94" s="1" t="s">
        <v>1880</v>
      </c>
      <c r="E94" s="1"/>
    </row>
    <row r="95" spans="2:5">
      <c r="B95" s="1" t="s">
        <v>1881</v>
      </c>
      <c r="C95" s="1" t="s">
        <v>1882</v>
      </c>
      <c r="D95" s="1" t="s">
        <v>1883</v>
      </c>
      <c r="E95" s="1"/>
    </row>
    <row r="96" spans="2:5">
      <c r="B96" s="1" t="s">
        <v>1865</v>
      </c>
      <c r="C96" s="1" t="s">
        <v>1884</v>
      </c>
      <c r="D96" s="1" t="s">
        <v>1867</v>
      </c>
      <c r="E96" s="1"/>
    </row>
    <row r="97" spans="2:5">
      <c r="B97" s="1" t="s">
        <v>1868</v>
      </c>
      <c r="C97" s="1" t="s">
        <v>1885</v>
      </c>
      <c r="D97" s="1" t="s">
        <v>1886</v>
      </c>
      <c r="E97" s="1"/>
    </row>
    <row r="98" spans="2:5">
      <c r="B98" s="1" t="s">
        <v>1871</v>
      </c>
      <c r="C98" s="1" t="s">
        <v>1887</v>
      </c>
      <c r="D98" s="1" t="s">
        <v>1867</v>
      </c>
      <c r="E98" s="1"/>
    </row>
    <row r="99" spans="2:5">
      <c r="B99" s="1" t="s">
        <v>1874</v>
      </c>
      <c r="C99" s="1" t="s">
        <v>1888</v>
      </c>
      <c r="D99" s="1" t="s">
        <v>1889</v>
      </c>
      <c r="E99" s="1"/>
    </row>
    <row r="100" spans="2:5">
      <c r="B100" s="221" t="s">
        <v>1890</v>
      </c>
      <c r="C100" s="221"/>
      <c r="D100" s="221"/>
      <c r="E100" s="221"/>
    </row>
    <row r="101" spans="2:5">
      <c r="B101" s="1" t="s">
        <v>1860</v>
      </c>
      <c r="C101" s="1">
        <v>120</v>
      </c>
      <c r="D101" s="1" t="s">
        <v>1891</v>
      </c>
      <c r="E101" s="1"/>
    </row>
    <row r="102" spans="2:5">
      <c r="B102" s="1" t="s">
        <v>1862</v>
      </c>
      <c r="C102" s="1" t="s">
        <v>1892</v>
      </c>
      <c r="D102" s="1" t="s">
        <v>1893</v>
      </c>
      <c r="E102" s="1"/>
    </row>
    <row r="103" spans="2:5">
      <c r="B103" s="1" t="s">
        <v>1881</v>
      </c>
      <c r="C103" s="1" t="s">
        <v>1894</v>
      </c>
      <c r="D103" s="1" t="s">
        <v>1895</v>
      </c>
      <c r="E103" s="1"/>
    </row>
    <row r="104" spans="2:5">
      <c r="B104" s="1" t="s">
        <v>1868</v>
      </c>
      <c r="C104" s="1" t="s">
        <v>1896</v>
      </c>
      <c r="D104" s="1" t="s">
        <v>1897</v>
      </c>
      <c r="E104" s="1"/>
    </row>
    <row r="105" spans="2:5">
      <c r="B105" s="1" t="s">
        <v>1898</v>
      </c>
      <c r="C105" s="1" t="s">
        <v>1899</v>
      </c>
      <c r="D105" s="1" t="s">
        <v>1900</v>
      </c>
      <c r="E105" s="1"/>
    </row>
    <row r="106" spans="2:5">
      <c r="B106" s="221" t="s">
        <v>1901</v>
      </c>
      <c r="C106" s="221"/>
      <c r="D106" s="221"/>
      <c r="E106" s="221"/>
    </row>
    <row r="107" spans="2:5">
      <c r="B107" s="1" t="s">
        <v>1860</v>
      </c>
      <c r="C107" s="1">
        <v>17823</v>
      </c>
      <c r="D107" s="1" t="s">
        <v>1878</v>
      </c>
      <c r="E107" s="1"/>
    </row>
    <row r="108" spans="2:5">
      <c r="B108" s="1" t="s">
        <v>1862</v>
      </c>
      <c r="C108" s="1" t="s">
        <v>1902</v>
      </c>
      <c r="D108" s="1" t="s">
        <v>1903</v>
      </c>
      <c r="E108" s="1"/>
    </row>
    <row r="109" spans="2:5">
      <c r="B109" s="1" t="s">
        <v>1865</v>
      </c>
      <c r="C109" s="1" t="s">
        <v>1904</v>
      </c>
      <c r="D109" s="1" t="s">
        <v>1905</v>
      </c>
      <c r="E109" s="1"/>
    </row>
    <row r="110" spans="2:5">
      <c r="B110" s="1" t="s">
        <v>1906</v>
      </c>
      <c r="C110" s="1" t="s">
        <v>1907</v>
      </c>
      <c r="D110" s="1" t="s">
        <v>1908</v>
      </c>
      <c r="E110" s="1"/>
    </row>
    <row r="111" spans="2:5">
      <c r="B111" s="221" t="s">
        <v>1909</v>
      </c>
      <c r="C111" s="221"/>
      <c r="D111" s="221"/>
      <c r="E111" s="221"/>
    </row>
    <row r="112" spans="2:5">
      <c r="B112" s="1" t="s">
        <v>1910</v>
      </c>
      <c r="C112" s="1" t="s">
        <v>1911</v>
      </c>
      <c r="D112" s="1" t="s">
        <v>1912</v>
      </c>
      <c r="E112" s="1"/>
    </row>
    <row r="113" spans="2:5">
      <c r="B113" s="1" t="s">
        <v>1913</v>
      </c>
      <c r="C113" s="1" t="s">
        <v>1914</v>
      </c>
      <c r="D113" s="1" t="s">
        <v>1915</v>
      </c>
      <c r="E113" s="1"/>
    </row>
    <row r="114" spans="2:5">
      <c r="B114" s="1" t="s">
        <v>1916</v>
      </c>
      <c r="C114" s="1" t="s">
        <v>1917</v>
      </c>
      <c r="D114" s="1" t="s">
        <v>1915</v>
      </c>
      <c r="E114" s="1"/>
    </row>
    <row r="115" spans="2:5">
      <c r="B115" s="1" t="s">
        <v>1918</v>
      </c>
      <c r="C115" s="1" t="s">
        <v>1919</v>
      </c>
      <c r="D115" s="1" t="s">
        <v>1920</v>
      </c>
      <c r="E115" s="1"/>
    </row>
    <row r="116" spans="2:5">
      <c r="B116" s="221" t="s">
        <v>1921</v>
      </c>
      <c r="C116" s="221"/>
      <c r="D116" s="221"/>
      <c r="E116" s="221"/>
    </row>
    <row r="117" spans="2:5">
      <c r="B117" s="1" t="s">
        <v>1922</v>
      </c>
      <c r="C117" s="1" t="s">
        <v>1923</v>
      </c>
      <c r="D117" s="1" t="s">
        <v>1924</v>
      </c>
      <c r="E117" s="1"/>
    </row>
    <row r="118" spans="2:5">
      <c r="B118" s="1" t="s">
        <v>1925</v>
      </c>
      <c r="C118" s="1" t="s">
        <v>1926</v>
      </c>
      <c r="D118" s="1" t="s">
        <v>1927</v>
      </c>
      <c r="E118" s="1"/>
    </row>
    <row r="119" spans="2:5">
      <c r="B119" s="221" t="s">
        <v>1928</v>
      </c>
      <c r="C119" s="221"/>
      <c r="D119" s="221"/>
      <c r="E119" s="221"/>
    </row>
    <row r="120" spans="2:5">
      <c r="B120" s="147" t="s">
        <v>1929</v>
      </c>
      <c r="C120" s="147" t="s">
        <v>1930</v>
      </c>
      <c r="D120" s="147" t="s">
        <v>1931</v>
      </c>
      <c r="E120" s="147"/>
    </row>
    <row r="121" spans="2:5">
      <c r="B121" s="1" t="s">
        <v>1932</v>
      </c>
      <c r="C121" s="1" t="s">
        <v>1933</v>
      </c>
      <c r="D121" s="1" t="s">
        <v>1931</v>
      </c>
      <c r="E121" s="1"/>
    </row>
    <row r="122" spans="2:5">
      <c r="B122" s="1" t="s">
        <v>1934</v>
      </c>
      <c r="C122" s="1" t="s">
        <v>1935</v>
      </c>
      <c r="D122" s="1" t="s">
        <v>1931</v>
      </c>
      <c r="E122" s="1"/>
    </row>
    <row r="123" spans="2:5">
      <c r="B123" s="1" t="s">
        <v>1936</v>
      </c>
      <c r="C123" s="1" t="s">
        <v>1937</v>
      </c>
      <c r="D123" s="1" t="s">
        <v>1931</v>
      </c>
      <c r="E123" s="1"/>
    </row>
    <row r="124" spans="2:5">
      <c r="B124" s="221" t="s">
        <v>1938</v>
      </c>
      <c r="C124" s="221"/>
      <c r="D124" s="221"/>
      <c r="E124" s="221"/>
    </row>
    <row r="125" spans="2:5">
      <c r="B125" s="147" t="s">
        <v>1939</v>
      </c>
      <c r="C125" s="147" t="s">
        <v>1940</v>
      </c>
      <c r="D125" s="147" t="s">
        <v>1941</v>
      </c>
      <c r="E125" s="147"/>
    </row>
    <row r="126" spans="2:5">
      <c r="B126" s="1" t="s">
        <v>1942</v>
      </c>
      <c r="C126" s="1" t="s">
        <v>1866</v>
      </c>
      <c r="D126" s="1" t="s">
        <v>1941</v>
      </c>
      <c r="E126" s="1"/>
    </row>
    <row r="127" spans="2:5">
      <c r="B127" s="1" t="s">
        <v>1943</v>
      </c>
      <c r="C127" s="1" t="s">
        <v>1944</v>
      </c>
      <c r="D127" s="1" t="s">
        <v>1941</v>
      </c>
      <c r="E127" s="1"/>
    </row>
    <row r="128" spans="2:5">
      <c r="B128" s="221" t="s">
        <v>1945</v>
      </c>
      <c r="C128" s="221"/>
      <c r="D128" s="221"/>
      <c r="E128" s="148"/>
    </row>
    <row r="129" spans="2:5">
      <c r="B129" s="1" t="s">
        <v>1946</v>
      </c>
      <c r="C129" s="1" t="s">
        <v>1947</v>
      </c>
      <c r="D129" s="1"/>
      <c r="E129" s="1"/>
    </row>
    <row r="130" spans="2:5">
      <c r="B130" s="1" t="s">
        <v>1948</v>
      </c>
      <c r="C130" s="1" t="s">
        <v>1949</v>
      </c>
      <c r="D130" s="1"/>
      <c r="E130" s="1"/>
    </row>
    <row r="131" spans="2:5">
      <c r="B131" s="1" t="s">
        <v>1950</v>
      </c>
      <c r="C131" s="1" t="s">
        <v>1951</v>
      </c>
      <c r="D131" s="1"/>
      <c r="E131" s="1"/>
    </row>
    <row r="132" spans="2:5">
      <c r="B132" s="221" t="s">
        <v>1952</v>
      </c>
      <c r="C132" s="221"/>
      <c r="D132" s="221"/>
      <c r="E132" s="221"/>
    </row>
    <row r="133" spans="2:5">
      <c r="B133" s="1" t="s">
        <v>1953</v>
      </c>
      <c r="C133" s="1" t="s">
        <v>1954</v>
      </c>
      <c r="D133" s="1" t="s">
        <v>1912</v>
      </c>
      <c r="E133" s="1"/>
    </row>
    <row r="135" spans="2:5">
      <c r="B135" s="196" t="s">
        <v>2003</v>
      </c>
      <c r="C135" s="197"/>
      <c r="D135" s="198"/>
    </row>
    <row r="136" spans="2:5">
      <c r="B136" s="198" t="s">
        <v>2004</v>
      </c>
      <c r="C136" s="199">
        <v>1537.5</v>
      </c>
      <c r="D136" s="198" t="s">
        <v>2005</v>
      </c>
    </row>
    <row r="137" spans="2:5">
      <c r="B137" s="198" t="s">
        <v>2109</v>
      </c>
      <c r="C137" s="200">
        <v>5.0999999999999996</v>
      </c>
      <c r="D137" s="198"/>
    </row>
    <row r="138" spans="2:5" s="1" customFormat="1">
      <c r="B138" s="198" t="s">
        <v>2007</v>
      </c>
      <c r="C138" s="199">
        <f>C136*C137</f>
        <v>7841.2499999999991</v>
      </c>
      <c r="D138" s="198"/>
    </row>
    <row r="139" spans="2:5">
      <c r="B139" s="198" t="s">
        <v>2006</v>
      </c>
      <c r="C139" s="201">
        <f>350.37*12</f>
        <v>4204.4400000000005</v>
      </c>
      <c r="D139" s="198"/>
    </row>
    <row r="140" spans="2:5">
      <c r="B140" s="198" t="s">
        <v>2008</v>
      </c>
      <c r="C140" s="202">
        <f>C138/C139</f>
        <v>1.8649927219796212</v>
      </c>
      <c r="D140" s="198"/>
    </row>
  </sheetData>
  <mergeCells count="14">
    <mergeCell ref="B128:D128"/>
    <mergeCell ref="B132:E132"/>
    <mergeCell ref="B100:E100"/>
    <mergeCell ref="B106:E106"/>
    <mergeCell ref="B111:E111"/>
    <mergeCell ref="B116:E116"/>
    <mergeCell ref="B119:E119"/>
    <mergeCell ref="B124:E124"/>
    <mergeCell ref="B92:E92"/>
    <mergeCell ref="B46:D46"/>
    <mergeCell ref="B51:D51"/>
    <mergeCell ref="B59:D59"/>
    <mergeCell ref="B78:D78"/>
    <mergeCell ref="B85:E85"/>
  </mergeCells>
  <hyperlinks>
    <hyperlink ref="D14" r:id="rId1" xr:uid="{3B2243FE-FCEC-974E-91EB-2A2C1C4E6508}"/>
    <hyperlink ref="D17" r:id="rId2" xr:uid="{6B6AA1D9-F76E-D942-B35B-A25910A5488C}"/>
    <hyperlink ref="D19" r:id="rId3" xr:uid="{19AEF542-0B26-CA4A-A8E8-2FBC7CF21814}"/>
    <hyperlink ref="D21" r:id="rId4" xr:uid="{D186A025-B264-CB48-8F4F-06E93FD3AC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DE116-C168-8D4B-875D-3D7CEE73A425}">
  <dimension ref="A1:I179"/>
  <sheetViews>
    <sheetView workbookViewId="0">
      <selection activeCell="B4" sqref="B4"/>
    </sheetView>
  </sheetViews>
  <sheetFormatPr defaultColWidth="11.5546875" defaultRowHeight="14.4"/>
  <cols>
    <col min="6" max="6" width="10.77734375" style="1"/>
    <col min="7" max="7" width="18.109375" style="1" customWidth="1"/>
  </cols>
  <sheetData>
    <row r="1" spans="1:9">
      <c r="A1" s="1" t="s">
        <v>0</v>
      </c>
      <c r="B1" s="1" t="s">
        <v>1</v>
      </c>
      <c r="C1" s="1" t="s">
        <v>2</v>
      </c>
      <c r="D1" s="1" t="s">
        <v>2270</v>
      </c>
      <c r="E1" s="1" t="s">
        <v>4</v>
      </c>
      <c r="F1" s="1" t="s">
        <v>5</v>
      </c>
      <c r="G1" s="206" t="s">
        <v>6</v>
      </c>
      <c r="H1" s="1" t="s">
        <v>7</v>
      </c>
      <c r="I1" s="1" t="s">
        <v>8</v>
      </c>
    </row>
    <row r="2" spans="1:9">
      <c r="A2" s="1">
        <v>1</v>
      </c>
      <c r="B2" s="1" t="s">
        <v>24</v>
      </c>
      <c r="C2" s="1" t="s">
        <v>17</v>
      </c>
      <c r="D2" s="1" t="s">
        <v>2130</v>
      </c>
      <c r="E2" s="1">
        <v>651.42999999999995</v>
      </c>
      <c r="F2" s="1">
        <v>0.39901283731649873</v>
      </c>
      <c r="G2" s="219">
        <v>355918.149785257</v>
      </c>
      <c r="H2" s="1">
        <v>2</v>
      </c>
      <c r="I2" s="1">
        <v>2</v>
      </c>
    </row>
    <row r="3" spans="1:9">
      <c r="A3" s="1">
        <v>1</v>
      </c>
      <c r="B3" s="1" t="s">
        <v>92</v>
      </c>
      <c r="C3" s="1" t="s">
        <v>17</v>
      </c>
      <c r="D3" s="1" t="s">
        <v>2128</v>
      </c>
      <c r="E3" s="1">
        <v>95</v>
      </c>
      <c r="F3" s="1">
        <v>6.8917388884868584</v>
      </c>
      <c r="G3" s="219">
        <v>6147408.6159481108</v>
      </c>
      <c r="H3" s="1">
        <v>3</v>
      </c>
      <c r="I3" s="1">
        <v>1</v>
      </c>
    </row>
    <row r="4" spans="1:9">
      <c r="A4" s="1">
        <v>1</v>
      </c>
      <c r="B4" s="1" t="s">
        <v>193</v>
      </c>
      <c r="C4" s="1" t="s">
        <v>17</v>
      </c>
      <c r="D4" s="1" t="s">
        <v>2131</v>
      </c>
      <c r="E4" s="1">
        <v>103</v>
      </c>
      <c r="F4" s="1">
        <v>15.894399563318769</v>
      </c>
      <c r="G4" s="219">
        <v>13091168.635381833</v>
      </c>
      <c r="H4" s="1">
        <v>2</v>
      </c>
      <c r="I4" s="1">
        <v>2</v>
      </c>
    </row>
    <row r="5" spans="1:9">
      <c r="A5" s="1">
        <v>1</v>
      </c>
      <c r="B5" s="1" t="s">
        <v>235</v>
      </c>
      <c r="C5" s="1" t="s">
        <v>17</v>
      </c>
      <c r="D5" s="1" t="s">
        <v>2132</v>
      </c>
      <c r="E5" s="1">
        <v>1097.1500000000001</v>
      </c>
      <c r="F5" s="1">
        <v>16.857696506550216</v>
      </c>
      <c r="G5" s="219">
        <v>4533738.0555434925</v>
      </c>
      <c r="H5" s="1">
        <v>2</v>
      </c>
      <c r="I5" s="1">
        <v>2</v>
      </c>
    </row>
    <row r="6" spans="1:9">
      <c r="A6" s="1">
        <v>1</v>
      </c>
      <c r="B6" s="1" t="s">
        <v>68</v>
      </c>
      <c r="C6" s="1" t="s">
        <v>17</v>
      </c>
      <c r="D6" s="1" t="s">
        <v>2133</v>
      </c>
      <c r="E6" s="1">
        <v>64</v>
      </c>
      <c r="F6" s="1">
        <v>129.15103773396382</v>
      </c>
      <c r="G6" s="219">
        <v>1714480.0259183696</v>
      </c>
      <c r="H6" s="1">
        <v>5</v>
      </c>
      <c r="I6" s="1">
        <v>1</v>
      </c>
    </row>
    <row r="7" spans="1:9">
      <c r="A7" s="1">
        <v>1</v>
      </c>
      <c r="B7" s="1" t="s">
        <v>288</v>
      </c>
      <c r="C7" s="1" t="s">
        <v>17</v>
      </c>
      <c r="D7" s="1" t="s">
        <v>2182</v>
      </c>
      <c r="E7" s="1">
        <v>88</v>
      </c>
      <c r="F7" s="1">
        <v>3.3088162714498468</v>
      </c>
      <c r="G7" s="219">
        <v>13315259.3354543</v>
      </c>
      <c r="H7" s="1">
        <v>1</v>
      </c>
      <c r="I7" s="1">
        <v>1</v>
      </c>
    </row>
    <row r="8" spans="1:9">
      <c r="A8" s="1">
        <v>1</v>
      </c>
      <c r="B8" s="1" t="s">
        <v>58</v>
      </c>
      <c r="C8" s="1" t="s">
        <v>17</v>
      </c>
      <c r="D8" s="1" t="s">
        <v>2200</v>
      </c>
      <c r="E8" s="1">
        <v>13</v>
      </c>
      <c r="F8" s="1">
        <v>13.33863335520445</v>
      </c>
      <c r="G8" s="219">
        <v>8744080.6173067838</v>
      </c>
      <c r="H8" s="1">
        <v>2</v>
      </c>
      <c r="I8" s="1">
        <v>2</v>
      </c>
    </row>
    <row r="9" spans="1:9">
      <c r="A9" s="1">
        <v>1</v>
      </c>
      <c r="B9" s="1" t="s">
        <v>123</v>
      </c>
      <c r="C9" s="1" t="s">
        <v>17</v>
      </c>
      <c r="D9" s="1" t="s">
        <v>2134</v>
      </c>
      <c r="E9" s="1">
        <v>54</v>
      </c>
      <c r="F9" s="1">
        <v>0.85034263447235536</v>
      </c>
      <c r="G9" s="219">
        <v>0</v>
      </c>
      <c r="H9" s="1">
        <v>1</v>
      </c>
      <c r="I9" s="1">
        <v>1</v>
      </c>
    </row>
    <row r="10" spans="1:9">
      <c r="A10" s="1">
        <v>0</v>
      </c>
      <c r="B10" s="1" t="s">
        <v>344</v>
      </c>
      <c r="C10" s="1" t="s">
        <v>17</v>
      </c>
      <c r="D10" s="1" t="e">
        <v>#DIV/0!</v>
      </c>
      <c r="E10" s="1"/>
      <c r="F10" s="1">
        <v>0.8027474526928674</v>
      </c>
      <c r="G10" s="219">
        <v>3006158.9043545299</v>
      </c>
      <c r="H10" s="1">
        <v>0</v>
      </c>
      <c r="I10" s="1">
        <v>1</v>
      </c>
    </row>
    <row r="11" spans="1:9">
      <c r="A11" s="1">
        <v>1</v>
      </c>
      <c r="B11" s="1" t="s">
        <v>413</v>
      </c>
      <c r="C11" s="1" t="s">
        <v>17</v>
      </c>
      <c r="D11" s="1" t="s">
        <v>2135</v>
      </c>
      <c r="E11" s="1">
        <v>3276</v>
      </c>
      <c r="F11" s="1">
        <v>0.96329694323144088</v>
      </c>
      <c r="G11" s="219">
        <v>0</v>
      </c>
      <c r="H11" s="1">
        <v>1</v>
      </c>
      <c r="I11" s="1">
        <v>1</v>
      </c>
    </row>
    <row r="12" spans="1:9">
      <c r="A12" s="1">
        <v>1</v>
      </c>
      <c r="B12" s="1" t="s">
        <v>72</v>
      </c>
      <c r="C12" s="1" t="s">
        <v>17</v>
      </c>
      <c r="D12" s="1" t="s">
        <v>2136</v>
      </c>
      <c r="E12" s="1">
        <v>237.02</v>
      </c>
      <c r="F12" s="1">
        <v>0.19075613713815071</v>
      </c>
      <c r="G12" s="219">
        <v>29776.924154183234</v>
      </c>
      <c r="H12" s="1">
        <v>2</v>
      </c>
      <c r="I12" s="1">
        <v>2</v>
      </c>
    </row>
    <row r="13" spans="1:9">
      <c r="A13" s="1">
        <v>1</v>
      </c>
      <c r="B13" s="1" t="s">
        <v>399</v>
      </c>
      <c r="C13" s="1" t="s">
        <v>17</v>
      </c>
      <c r="D13" s="1" t="s">
        <v>2201</v>
      </c>
      <c r="E13" s="1">
        <v>242</v>
      </c>
      <c r="F13" s="1">
        <v>14.679053602803958</v>
      </c>
      <c r="G13" s="219">
        <v>10994134.59302495</v>
      </c>
      <c r="H13" s="1">
        <v>1</v>
      </c>
      <c r="I13" s="1">
        <v>1</v>
      </c>
    </row>
    <row r="14" spans="1:9">
      <c r="A14" s="1">
        <v>1</v>
      </c>
      <c r="B14" s="1" t="s">
        <v>162</v>
      </c>
      <c r="C14" s="1" t="s">
        <v>17</v>
      </c>
      <c r="D14" s="1" t="s">
        <v>2202</v>
      </c>
      <c r="E14" s="1">
        <v>11</v>
      </c>
      <c r="F14" s="1">
        <v>0.7299478572589656</v>
      </c>
      <c r="G14" s="219">
        <v>9307106.7206547111</v>
      </c>
      <c r="H14" s="1">
        <v>1</v>
      </c>
      <c r="I14" s="1">
        <v>1</v>
      </c>
    </row>
    <row r="15" spans="1:9">
      <c r="A15" s="1">
        <v>1</v>
      </c>
      <c r="B15" s="1" t="s">
        <v>90</v>
      </c>
      <c r="C15" s="1" t="s">
        <v>17</v>
      </c>
      <c r="D15" s="1" t="s">
        <v>2137</v>
      </c>
      <c r="E15" s="1">
        <v>2908</v>
      </c>
      <c r="F15" s="1">
        <v>0.34826120449992654</v>
      </c>
      <c r="G15" s="219">
        <v>0</v>
      </c>
      <c r="H15" s="1">
        <v>1</v>
      </c>
      <c r="I15" s="1">
        <v>1</v>
      </c>
    </row>
    <row r="16" spans="1:9">
      <c r="A16" s="1">
        <v>1</v>
      </c>
      <c r="B16" s="1" t="s">
        <v>142</v>
      </c>
      <c r="C16" s="1" t="s">
        <v>17</v>
      </c>
      <c r="D16" s="1" t="s">
        <v>2138</v>
      </c>
      <c r="E16" s="1">
        <v>285</v>
      </c>
      <c r="F16" s="1">
        <v>8.8727675946142632</v>
      </c>
      <c r="G16" s="219">
        <v>5836928.8245305708</v>
      </c>
      <c r="H16" s="1">
        <v>2</v>
      </c>
      <c r="I16" s="1">
        <v>1</v>
      </c>
    </row>
    <row r="17" spans="1:9">
      <c r="A17" s="1">
        <v>1</v>
      </c>
      <c r="B17" s="1" t="s">
        <v>62</v>
      </c>
      <c r="C17" s="1" t="s">
        <v>17</v>
      </c>
      <c r="D17" s="1" t="s">
        <v>2203</v>
      </c>
      <c r="E17" s="1">
        <v>2400</v>
      </c>
      <c r="F17" s="1">
        <v>29.351632568409574</v>
      </c>
      <c r="G17" s="219">
        <v>153182943.72958389</v>
      </c>
      <c r="H17" s="1">
        <v>4</v>
      </c>
      <c r="I17" s="1">
        <v>1</v>
      </c>
    </row>
    <row r="18" spans="1:9">
      <c r="A18" s="1">
        <v>1</v>
      </c>
      <c r="B18" s="1" t="s">
        <v>356</v>
      </c>
      <c r="C18" s="1" t="s">
        <v>17</v>
      </c>
      <c r="D18" s="1" t="s">
        <v>2139</v>
      </c>
      <c r="E18" s="1">
        <v>1400</v>
      </c>
      <c r="F18" s="1">
        <v>7.9384726766152083</v>
      </c>
      <c r="G18" s="219">
        <v>0</v>
      </c>
      <c r="H18" s="1">
        <v>3</v>
      </c>
      <c r="I18" s="1">
        <v>1</v>
      </c>
    </row>
    <row r="19" spans="1:9">
      <c r="A19" s="1">
        <v>1</v>
      </c>
      <c r="B19" s="1" t="s">
        <v>152</v>
      </c>
      <c r="C19" s="1" t="s">
        <v>17</v>
      </c>
      <c r="D19" s="1" t="s">
        <v>2204</v>
      </c>
      <c r="E19" s="1">
        <v>0.05</v>
      </c>
      <c r="F19" s="1">
        <v>2.1717414545454545</v>
      </c>
      <c r="G19" s="219">
        <v>1678165.1527050938</v>
      </c>
      <c r="H19" s="1">
        <v>4</v>
      </c>
      <c r="I19" s="1">
        <v>3</v>
      </c>
    </row>
    <row r="20" spans="1:9">
      <c r="A20" s="1">
        <v>1</v>
      </c>
      <c r="B20" s="1" t="s">
        <v>204</v>
      </c>
      <c r="C20" s="1" t="s">
        <v>17</v>
      </c>
      <c r="D20" s="1" t="s">
        <v>2140</v>
      </c>
      <c r="E20" s="1">
        <v>1</v>
      </c>
      <c r="F20" s="1">
        <v>2.7355462348644415</v>
      </c>
      <c r="G20" s="219">
        <v>132301.40716397215</v>
      </c>
      <c r="H20" s="1">
        <v>2</v>
      </c>
      <c r="I20" s="1">
        <v>1</v>
      </c>
    </row>
    <row r="21" spans="1:9">
      <c r="A21" s="1">
        <v>1</v>
      </c>
      <c r="B21" s="1" t="s">
        <v>393</v>
      </c>
      <c r="C21" s="1" t="s">
        <v>17</v>
      </c>
      <c r="D21" s="1" t="s">
        <v>2183</v>
      </c>
      <c r="E21" s="1">
        <v>3324</v>
      </c>
      <c r="F21" s="1">
        <v>8.5123339883551647</v>
      </c>
      <c r="G21" s="219">
        <v>824.45700104174659</v>
      </c>
      <c r="H21" s="1">
        <v>3</v>
      </c>
      <c r="I21" s="1">
        <v>2</v>
      </c>
    </row>
    <row r="22" spans="1:9">
      <c r="A22" s="1">
        <v>1</v>
      </c>
      <c r="B22" s="1" t="s">
        <v>264</v>
      </c>
      <c r="C22" s="1" t="s">
        <v>17</v>
      </c>
      <c r="D22" s="1" t="s">
        <v>2141</v>
      </c>
      <c r="E22" s="1">
        <v>651.42999999999995</v>
      </c>
      <c r="F22" s="1">
        <v>8.757244938467645</v>
      </c>
      <c r="G22" s="219">
        <v>46653.679810789996</v>
      </c>
      <c r="H22" s="1">
        <v>1</v>
      </c>
      <c r="I22" s="1">
        <v>3</v>
      </c>
    </row>
    <row r="23" spans="1:9">
      <c r="A23" s="1">
        <v>1</v>
      </c>
      <c r="B23" s="1" t="s">
        <v>351</v>
      </c>
      <c r="C23" s="1" t="s">
        <v>17</v>
      </c>
      <c r="D23" s="1" t="s">
        <v>2134</v>
      </c>
      <c r="E23" s="1">
        <v>651.71</v>
      </c>
      <c r="F23" s="1">
        <v>1.0194892649199416</v>
      </c>
      <c r="G23" s="219">
        <v>0</v>
      </c>
      <c r="H23" s="1">
        <v>2</v>
      </c>
      <c r="I23" s="1">
        <v>1</v>
      </c>
    </row>
    <row r="24" spans="1:9">
      <c r="A24" s="1">
        <v>1</v>
      </c>
      <c r="B24" s="1" t="s">
        <v>328</v>
      </c>
      <c r="C24" s="1" t="s">
        <v>17</v>
      </c>
      <c r="D24" s="1" t="s">
        <v>2184</v>
      </c>
      <c r="E24" s="1">
        <v>175</v>
      </c>
      <c r="F24" s="1">
        <v>3.7822774440160787</v>
      </c>
      <c r="G24" s="219">
        <v>0</v>
      </c>
      <c r="H24" s="1">
        <v>2</v>
      </c>
      <c r="I24" s="1">
        <v>1</v>
      </c>
    </row>
    <row r="25" spans="1:9">
      <c r="A25" s="1">
        <v>1</v>
      </c>
      <c r="B25" s="1" t="s">
        <v>81</v>
      </c>
      <c r="C25" s="1" t="s">
        <v>17</v>
      </c>
      <c r="D25" s="1" t="s">
        <v>2142</v>
      </c>
      <c r="E25" s="1">
        <v>31</v>
      </c>
      <c r="F25" s="1">
        <v>12.727272727272727</v>
      </c>
      <c r="G25" s="219">
        <v>34385212.527272724</v>
      </c>
      <c r="H25" s="1">
        <v>3</v>
      </c>
      <c r="I25" s="1">
        <v>1</v>
      </c>
    </row>
    <row r="26" spans="1:9">
      <c r="A26" s="1">
        <v>1</v>
      </c>
      <c r="B26" s="1" t="s">
        <v>197</v>
      </c>
      <c r="C26" s="1" t="s">
        <v>17</v>
      </c>
      <c r="D26" s="1" t="s">
        <v>2134</v>
      </c>
      <c r="E26" s="1">
        <v>93</v>
      </c>
      <c r="F26" s="1">
        <v>18.181818181818183</v>
      </c>
      <c r="G26" s="219">
        <v>0</v>
      </c>
      <c r="H26" s="1">
        <v>3</v>
      </c>
      <c r="I26" s="1">
        <v>1</v>
      </c>
    </row>
    <row r="27" spans="1:9">
      <c r="A27" s="1">
        <v>1</v>
      </c>
      <c r="B27" s="1" t="s">
        <v>364</v>
      </c>
      <c r="C27" s="1" t="s">
        <v>17</v>
      </c>
      <c r="D27" s="1" t="s">
        <v>2134</v>
      </c>
      <c r="E27" s="1">
        <v>49</v>
      </c>
      <c r="F27" s="1">
        <v>0.7839250945202626</v>
      </c>
      <c r="G27" s="219">
        <v>0</v>
      </c>
      <c r="H27" s="1">
        <v>1</v>
      </c>
      <c r="I27" s="1">
        <v>1</v>
      </c>
    </row>
    <row r="28" spans="1:9">
      <c r="A28" s="1">
        <v>1</v>
      </c>
      <c r="B28" s="1" t="s">
        <v>201</v>
      </c>
      <c r="C28" s="1" t="s">
        <v>17</v>
      </c>
      <c r="D28" s="1" t="s">
        <v>2134</v>
      </c>
      <c r="E28" s="1">
        <v>6</v>
      </c>
      <c r="F28" s="1">
        <v>3.2479161935953418E-2</v>
      </c>
      <c r="G28" s="219">
        <v>0</v>
      </c>
      <c r="H28" s="1">
        <v>2</v>
      </c>
      <c r="I28" s="1">
        <v>1</v>
      </c>
    </row>
    <row r="29" spans="1:9">
      <c r="A29" s="1">
        <v>1</v>
      </c>
      <c r="B29" s="1" t="s">
        <v>54</v>
      </c>
      <c r="C29" s="1" t="s">
        <v>17</v>
      </c>
      <c r="D29" s="1" t="s">
        <v>2134</v>
      </c>
      <c r="E29" s="1">
        <v>6</v>
      </c>
      <c r="F29" s="1">
        <v>2.8562193694879663</v>
      </c>
      <c r="G29" s="219">
        <v>0</v>
      </c>
      <c r="H29" s="1">
        <v>1</v>
      </c>
      <c r="I29" s="1">
        <v>1</v>
      </c>
    </row>
    <row r="30" spans="1:9">
      <c r="A30" s="1">
        <v>1</v>
      </c>
      <c r="B30" s="1" t="s">
        <v>202</v>
      </c>
      <c r="C30" s="1" t="s">
        <v>17</v>
      </c>
      <c r="D30" s="1" t="s">
        <v>2185</v>
      </c>
      <c r="E30" s="1">
        <v>1206</v>
      </c>
      <c r="F30" s="1">
        <v>0.19075613713815071</v>
      </c>
      <c r="G30" s="219">
        <v>106346.15769351153</v>
      </c>
      <c r="H30" s="1">
        <v>1</v>
      </c>
      <c r="I30" s="1">
        <v>1</v>
      </c>
    </row>
    <row r="31" spans="1:9">
      <c r="A31" s="1">
        <v>1</v>
      </c>
      <c r="B31" s="1" t="s">
        <v>380</v>
      </c>
      <c r="C31" s="1" t="s">
        <v>17</v>
      </c>
      <c r="D31" s="1" t="s">
        <v>2134</v>
      </c>
      <c r="E31" s="1">
        <v>6</v>
      </c>
      <c r="F31" s="1">
        <v>1.3003667211154566</v>
      </c>
      <c r="G31" s="219">
        <v>0</v>
      </c>
      <c r="H31" s="1">
        <v>1</v>
      </c>
      <c r="I31" s="1">
        <v>1</v>
      </c>
    </row>
    <row r="32" spans="1:9">
      <c r="A32" s="1">
        <v>1</v>
      </c>
      <c r="B32" s="1" t="s">
        <v>338</v>
      </c>
      <c r="C32" s="1" t="s">
        <v>17</v>
      </c>
      <c r="D32" s="1" t="s">
        <v>2125</v>
      </c>
      <c r="E32" s="1">
        <v>63</v>
      </c>
      <c r="F32" s="1">
        <v>275.49378805739161</v>
      </c>
      <c r="G32" s="219">
        <v>50732.401465799114</v>
      </c>
      <c r="H32" s="1">
        <v>5</v>
      </c>
      <c r="I32" s="1">
        <v>1</v>
      </c>
    </row>
    <row r="33" spans="1:9">
      <c r="A33" s="1">
        <v>0</v>
      </c>
      <c r="B33" s="1" t="s">
        <v>407</v>
      </c>
      <c r="C33" s="1" t="s">
        <v>17</v>
      </c>
      <c r="D33" s="1" t="e">
        <v>#DIV/0!</v>
      </c>
      <c r="E33" s="1">
        <v>324</v>
      </c>
      <c r="F33" s="1">
        <v>4.5363582097391006</v>
      </c>
      <c r="G33" s="219">
        <v>6898.8209836398692</v>
      </c>
      <c r="H33" s="1">
        <v>2</v>
      </c>
      <c r="I33" s="1">
        <v>1</v>
      </c>
    </row>
    <row r="34" spans="1:9">
      <c r="A34" s="1">
        <v>0</v>
      </c>
      <c r="B34" s="1" t="s">
        <v>348</v>
      </c>
      <c r="C34" s="1" t="s">
        <v>17</v>
      </c>
      <c r="D34" s="1" t="e">
        <v>#REF!</v>
      </c>
      <c r="E34" s="1">
        <v>651.71</v>
      </c>
      <c r="F34" s="1">
        <v>8.4336543578514807</v>
      </c>
      <c r="G34" s="219" t="e">
        <v>#REF!</v>
      </c>
      <c r="H34" s="1">
        <v>1</v>
      </c>
      <c r="I34" s="1">
        <v>1</v>
      </c>
    </row>
    <row r="35" spans="1:9">
      <c r="A35" s="1">
        <v>1</v>
      </c>
      <c r="B35" s="1" t="s">
        <v>403</v>
      </c>
      <c r="C35" s="1" t="s">
        <v>17</v>
      </c>
      <c r="D35" s="1" t="s">
        <v>2143</v>
      </c>
      <c r="E35" s="1">
        <v>651.71</v>
      </c>
      <c r="F35" s="1">
        <v>0.22476928675400293</v>
      </c>
      <c r="G35" s="219">
        <v>0</v>
      </c>
      <c r="H35" s="1">
        <v>0</v>
      </c>
      <c r="I35" s="1">
        <v>1</v>
      </c>
    </row>
    <row r="36" spans="1:9">
      <c r="A36" s="1">
        <v>1</v>
      </c>
      <c r="B36" s="1" t="s">
        <v>268</v>
      </c>
      <c r="C36" s="1" t="s">
        <v>17</v>
      </c>
      <c r="D36" s="1" t="s">
        <v>2144</v>
      </c>
      <c r="E36" s="1">
        <v>1830</v>
      </c>
      <c r="F36" s="1">
        <v>1.1238464337700145</v>
      </c>
      <c r="G36" s="219">
        <v>664134.62221341615</v>
      </c>
      <c r="H36" s="1">
        <v>1</v>
      </c>
      <c r="I36" s="1">
        <v>3</v>
      </c>
    </row>
    <row r="37" spans="1:9">
      <c r="A37" s="1">
        <v>0</v>
      </c>
      <c r="B37" s="1" t="s">
        <v>384</v>
      </c>
      <c r="C37" s="1" t="s">
        <v>17</v>
      </c>
      <c r="D37" s="1" t="e">
        <v>#DIV/0!</v>
      </c>
      <c r="E37" s="1"/>
      <c r="F37" s="1">
        <v>4.8516582656218041</v>
      </c>
      <c r="G37" s="219">
        <v>0</v>
      </c>
      <c r="H37" s="1">
        <v>2</v>
      </c>
      <c r="I37" s="1">
        <v>1</v>
      </c>
    </row>
    <row r="38" spans="1:9">
      <c r="A38" s="1">
        <v>1</v>
      </c>
      <c r="B38" s="1" t="s">
        <v>290</v>
      </c>
      <c r="C38" s="1" t="s">
        <v>17</v>
      </c>
      <c r="D38" s="1" t="s">
        <v>2145</v>
      </c>
      <c r="E38" s="1">
        <v>142.86000000000001</v>
      </c>
      <c r="F38" s="1">
        <v>0.67338244168873418</v>
      </c>
      <c r="G38" s="219">
        <v>0</v>
      </c>
      <c r="H38" s="1">
        <v>2</v>
      </c>
      <c r="I38" s="1">
        <v>1</v>
      </c>
    </row>
    <row r="39" spans="1:9">
      <c r="A39" s="1">
        <v>1</v>
      </c>
      <c r="B39" s="1" t="s">
        <v>323</v>
      </c>
      <c r="C39" s="1" t="s">
        <v>17</v>
      </c>
      <c r="D39" s="1" t="s">
        <v>2186</v>
      </c>
      <c r="E39" s="1">
        <v>19560</v>
      </c>
      <c r="F39" s="1">
        <v>8.4336543578514807</v>
      </c>
      <c r="G39" s="219">
        <v>0</v>
      </c>
      <c r="H39" s="1">
        <v>1</v>
      </c>
      <c r="I39" s="1">
        <v>1</v>
      </c>
    </row>
    <row r="40" spans="1:9">
      <c r="A40" s="1">
        <v>0</v>
      </c>
      <c r="B40" s="1" t="s">
        <v>336</v>
      </c>
      <c r="C40" s="1" t="s">
        <v>17</v>
      </c>
      <c r="D40" s="1" t="e">
        <v>#DIV/0!</v>
      </c>
      <c r="E40" s="1"/>
      <c r="F40" s="1">
        <v>8.4336543578514807</v>
      </c>
      <c r="G40" s="219">
        <v>0</v>
      </c>
      <c r="H40" s="1">
        <v>1</v>
      </c>
      <c r="I40" s="1">
        <v>1</v>
      </c>
    </row>
    <row r="41" spans="1:9">
      <c r="A41" s="1">
        <v>1</v>
      </c>
      <c r="B41" s="1" t="s">
        <v>241</v>
      </c>
      <c r="C41" s="1" t="s">
        <v>17</v>
      </c>
      <c r="D41" s="1" t="s">
        <v>2187</v>
      </c>
      <c r="E41" s="1">
        <v>1</v>
      </c>
      <c r="F41" s="1">
        <v>8.4336543578514807</v>
      </c>
      <c r="G41" s="219">
        <v>0</v>
      </c>
      <c r="H41" s="1">
        <v>1</v>
      </c>
      <c r="I41" s="1">
        <v>1</v>
      </c>
    </row>
    <row r="42" spans="1:9">
      <c r="A42" s="1">
        <v>1</v>
      </c>
      <c r="B42" s="1" t="s">
        <v>409</v>
      </c>
      <c r="C42" s="1" t="s">
        <v>17</v>
      </c>
      <c r="D42" s="1" t="s">
        <v>2188</v>
      </c>
      <c r="E42" s="1">
        <v>651.71</v>
      </c>
      <c r="F42" s="1">
        <v>8.4336543578514807</v>
      </c>
      <c r="G42" s="219">
        <v>0</v>
      </c>
      <c r="H42" s="1">
        <v>1</v>
      </c>
      <c r="I42" s="1">
        <v>1</v>
      </c>
    </row>
    <row r="43" spans="1:9">
      <c r="A43" s="1">
        <v>1</v>
      </c>
      <c r="B43" s="1" t="s">
        <v>411</v>
      </c>
      <c r="C43" s="1" t="s">
        <v>17</v>
      </c>
      <c r="D43" s="1" t="s">
        <v>2189</v>
      </c>
      <c r="E43" s="1">
        <v>1</v>
      </c>
      <c r="F43" s="1">
        <v>8.4336543578514807</v>
      </c>
      <c r="G43" s="219">
        <v>0</v>
      </c>
      <c r="H43" s="1">
        <v>1</v>
      </c>
      <c r="I43" s="1">
        <v>1</v>
      </c>
    </row>
    <row r="44" spans="1:9">
      <c r="A44" s="1">
        <v>1</v>
      </c>
      <c r="B44" s="1" t="s">
        <v>354</v>
      </c>
      <c r="C44" s="1" t="s">
        <v>17</v>
      </c>
      <c r="D44" s="1" t="s">
        <v>2139</v>
      </c>
      <c r="E44" s="1">
        <v>1186</v>
      </c>
      <c r="F44" s="1">
        <v>0.39901283731649873</v>
      </c>
      <c r="G44" s="219">
        <v>0</v>
      </c>
      <c r="H44" s="1">
        <v>2</v>
      </c>
      <c r="I44" s="1">
        <v>1</v>
      </c>
    </row>
    <row r="45" spans="1:9">
      <c r="A45" s="1">
        <v>1</v>
      </c>
      <c r="B45" s="1" t="s">
        <v>140</v>
      </c>
      <c r="C45" s="1" t="s">
        <v>17</v>
      </c>
      <c r="D45" s="1" t="s">
        <v>2146</v>
      </c>
      <c r="E45" s="1">
        <v>49</v>
      </c>
      <c r="F45" s="1">
        <v>0.30577131818181819</v>
      </c>
      <c r="G45" s="219">
        <v>208669.44702612274</v>
      </c>
      <c r="H45" s="1">
        <v>1</v>
      </c>
      <c r="I45" s="1">
        <v>1</v>
      </c>
    </row>
    <row r="46" spans="1:9">
      <c r="A46" s="1">
        <v>1</v>
      </c>
      <c r="B46" s="1" t="s">
        <v>16</v>
      </c>
      <c r="C46" s="1" t="s">
        <v>17</v>
      </c>
      <c r="D46" s="1" t="s">
        <v>2147</v>
      </c>
      <c r="E46" s="1">
        <v>32</v>
      </c>
      <c r="F46" s="1">
        <v>76.521211893262759</v>
      </c>
      <c r="G46" s="219">
        <v>3778046.5414837431</v>
      </c>
      <c r="H46" s="1">
        <v>4</v>
      </c>
      <c r="I46" s="1">
        <v>1</v>
      </c>
    </row>
    <row r="47" spans="1:9">
      <c r="A47" s="1">
        <v>1</v>
      </c>
      <c r="B47" s="1" t="s">
        <v>134</v>
      </c>
      <c r="C47" s="1" t="s">
        <v>17</v>
      </c>
      <c r="D47" s="1" t="s">
        <v>2190</v>
      </c>
      <c r="E47" s="1">
        <v>651.42999999999995</v>
      </c>
      <c r="F47" s="1">
        <v>14.30439545199677</v>
      </c>
      <c r="G47" s="219">
        <v>933719.43343823636</v>
      </c>
      <c r="H47" s="1">
        <v>3</v>
      </c>
      <c r="I47" s="1">
        <v>2</v>
      </c>
    </row>
    <row r="48" spans="1:9">
      <c r="A48" s="1">
        <v>1</v>
      </c>
      <c r="B48" s="1" t="s">
        <v>542</v>
      </c>
      <c r="C48" s="1" t="s">
        <v>10</v>
      </c>
      <c r="D48" s="1" t="s">
        <v>2191</v>
      </c>
      <c r="E48" s="1">
        <v>71.430000000000007</v>
      </c>
      <c r="F48" s="1">
        <v>371.31459590440079</v>
      </c>
      <c r="G48" s="219">
        <v>0</v>
      </c>
      <c r="H48" s="1">
        <v>5</v>
      </c>
      <c r="I48" s="1">
        <v>3</v>
      </c>
    </row>
    <row r="49" spans="1:9">
      <c r="A49" s="1">
        <v>1</v>
      </c>
      <c r="B49" s="1" t="s">
        <v>258</v>
      </c>
      <c r="C49" s="1" t="s">
        <v>10</v>
      </c>
      <c r="D49" s="1" t="s">
        <v>2148</v>
      </c>
      <c r="E49" s="1">
        <v>7875.72</v>
      </c>
      <c r="F49" s="1">
        <v>258.83989384056815</v>
      </c>
      <c r="G49" s="219">
        <v>27488796.725868337</v>
      </c>
      <c r="H49" s="1">
        <v>3</v>
      </c>
      <c r="I49" s="1">
        <v>1</v>
      </c>
    </row>
    <row r="50" spans="1:9">
      <c r="A50" s="1">
        <v>1</v>
      </c>
      <c r="B50" s="1" t="s">
        <v>52</v>
      </c>
      <c r="C50" s="1" t="s">
        <v>10</v>
      </c>
      <c r="D50" s="1" t="s">
        <v>2192</v>
      </c>
      <c r="E50" s="1">
        <v>651.71</v>
      </c>
      <c r="F50" s="1">
        <v>0</v>
      </c>
      <c r="G50" s="219">
        <v>0</v>
      </c>
      <c r="H50" s="1">
        <v>3</v>
      </c>
      <c r="I50" s="1">
        <v>2</v>
      </c>
    </row>
    <row r="51" spans="1:9">
      <c r="A51" s="1">
        <v>1</v>
      </c>
      <c r="B51" s="1" t="s">
        <v>245</v>
      </c>
      <c r="C51" s="1" t="s">
        <v>10</v>
      </c>
      <c r="D51" s="1" t="s">
        <v>2149</v>
      </c>
      <c r="E51" s="1">
        <v>26</v>
      </c>
      <c r="F51" s="1">
        <v>27.272727272727273</v>
      </c>
      <c r="G51" s="219">
        <v>1267913.1818181819</v>
      </c>
      <c r="H51" s="1">
        <v>3</v>
      </c>
      <c r="I51" s="1">
        <v>1</v>
      </c>
    </row>
    <row r="52" spans="1:9">
      <c r="A52" s="1">
        <v>1</v>
      </c>
      <c r="B52" s="1" t="s">
        <v>544</v>
      </c>
      <c r="C52" s="1" t="s">
        <v>10</v>
      </c>
      <c r="D52" s="1" t="s">
        <v>2150</v>
      </c>
      <c r="E52" s="1">
        <v>651.42999999999995</v>
      </c>
      <c r="F52" s="1">
        <v>57.119181203599432</v>
      </c>
      <c r="G52" s="219">
        <v>0</v>
      </c>
      <c r="H52" s="1">
        <v>2</v>
      </c>
      <c r="I52" s="1">
        <v>1</v>
      </c>
    </row>
    <row r="53" spans="1:9">
      <c r="A53" s="1">
        <v>1</v>
      </c>
      <c r="B53" s="1" t="s">
        <v>131</v>
      </c>
      <c r="C53" s="1" t="s">
        <v>10</v>
      </c>
      <c r="D53" s="1" t="s">
        <v>2193</v>
      </c>
      <c r="E53" s="1">
        <v>428.58</v>
      </c>
      <c r="F53" s="1">
        <v>2.7272727272727271</v>
      </c>
      <c r="G53" s="219">
        <v>5015303.5445454549</v>
      </c>
      <c r="H53" s="1">
        <v>2</v>
      </c>
      <c r="I53" s="1">
        <v>2</v>
      </c>
    </row>
    <row r="54" spans="1:9">
      <c r="A54" s="1">
        <v>1</v>
      </c>
      <c r="B54" s="1" t="s">
        <v>283</v>
      </c>
      <c r="C54" s="1" t="s">
        <v>10</v>
      </c>
      <c r="D54" s="1" t="s">
        <v>2194</v>
      </c>
      <c r="E54" s="1">
        <v>651.71</v>
      </c>
      <c r="F54" s="1">
        <v>4.7862901090909089</v>
      </c>
      <c r="G54" s="219">
        <v>2935648.6940941638</v>
      </c>
      <c r="H54" s="1">
        <v>2</v>
      </c>
      <c r="I54" s="1">
        <v>2</v>
      </c>
    </row>
    <row r="55" spans="1:9">
      <c r="A55" s="1">
        <v>1</v>
      </c>
      <c r="B55" s="1" t="s">
        <v>287</v>
      </c>
      <c r="C55" s="1" t="s">
        <v>10</v>
      </c>
      <c r="D55" s="1" t="s">
        <v>2195</v>
      </c>
      <c r="E55" s="1">
        <v>651.71</v>
      </c>
      <c r="F55" s="1">
        <v>0</v>
      </c>
      <c r="G55" s="219">
        <v>0</v>
      </c>
      <c r="H55" s="1">
        <v>2</v>
      </c>
      <c r="I55" s="1">
        <v>2</v>
      </c>
    </row>
    <row r="56" spans="1:9">
      <c r="A56" s="1">
        <v>1</v>
      </c>
      <c r="B56" s="1" t="s">
        <v>213</v>
      </c>
      <c r="C56" s="1" t="s">
        <v>10</v>
      </c>
      <c r="D56" s="1" t="s">
        <v>2196</v>
      </c>
      <c r="E56" s="1">
        <v>17</v>
      </c>
      <c r="F56" s="1">
        <v>4554.7044584807891</v>
      </c>
      <c r="G56" s="219">
        <v>1538196.5709002982</v>
      </c>
      <c r="H56" s="1">
        <v>4</v>
      </c>
      <c r="I56" s="1">
        <v>3</v>
      </c>
    </row>
    <row r="57" spans="1:9">
      <c r="A57" s="1">
        <v>1</v>
      </c>
      <c r="B57" s="1" t="s">
        <v>247</v>
      </c>
      <c r="C57" s="1" t="s">
        <v>10</v>
      </c>
      <c r="D57" s="1" t="s">
        <v>2151</v>
      </c>
      <c r="E57" s="1">
        <v>60</v>
      </c>
      <c r="F57" s="1">
        <v>36.363636363636367</v>
      </c>
      <c r="G57" s="219">
        <v>48388572</v>
      </c>
      <c r="H57" s="1">
        <v>4</v>
      </c>
      <c r="I57" s="1">
        <v>1</v>
      </c>
    </row>
    <row r="58" spans="1:9">
      <c r="A58" s="1">
        <v>1</v>
      </c>
      <c r="B58" s="1" t="s">
        <v>125</v>
      </c>
      <c r="C58" s="1" t="s">
        <v>10</v>
      </c>
      <c r="D58" s="1" t="s">
        <v>2197</v>
      </c>
      <c r="E58" s="1">
        <v>117.15</v>
      </c>
      <c r="F58" s="1">
        <v>2.6688208210592856</v>
      </c>
      <c r="G58" s="219">
        <v>111589.66265127888</v>
      </c>
      <c r="H58" s="1">
        <v>2</v>
      </c>
      <c r="I58" s="1">
        <v>1</v>
      </c>
    </row>
    <row r="59" spans="1:9">
      <c r="A59" s="1">
        <v>1</v>
      </c>
      <c r="B59" s="1" t="s">
        <v>156</v>
      </c>
      <c r="C59" s="1" t="s">
        <v>10</v>
      </c>
      <c r="D59" s="1" t="s">
        <v>2152</v>
      </c>
      <c r="E59" s="1">
        <v>2530</v>
      </c>
      <c r="F59" s="1">
        <v>724.73554986836712</v>
      </c>
      <c r="G59" s="219">
        <v>137806.27402345627</v>
      </c>
      <c r="H59" s="1">
        <v>4</v>
      </c>
      <c r="I59" s="1">
        <v>1</v>
      </c>
    </row>
    <row r="60" spans="1:9">
      <c r="A60" s="1">
        <v>1</v>
      </c>
      <c r="B60" s="1" t="s">
        <v>12</v>
      </c>
      <c r="C60" s="1" t="s">
        <v>10</v>
      </c>
      <c r="D60" s="1" t="s">
        <v>2153</v>
      </c>
      <c r="E60" s="1">
        <v>18</v>
      </c>
      <c r="F60" s="1">
        <v>886.57199585510728</v>
      </c>
      <c r="G60" s="219">
        <v>168578.98501670299</v>
      </c>
      <c r="H60" s="1">
        <v>4</v>
      </c>
      <c r="I60" s="1">
        <v>1</v>
      </c>
    </row>
    <row r="61" spans="1:9">
      <c r="A61" s="1">
        <v>1</v>
      </c>
      <c r="B61" s="1" t="s">
        <v>9</v>
      </c>
      <c r="C61" s="1" t="s">
        <v>10</v>
      </c>
      <c r="D61" s="1" t="s">
        <v>2198</v>
      </c>
      <c r="E61" s="1">
        <v>5488</v>
      </c>
      <c r="F61" s="1">
        <v>390.90909090909093</v>
      </c>
      <c r="G61" s="219">
        <v>9152284.3740841895</v>
      </c>
      <c r="H61" s="1">
        <v>4</v>
      </c>
      <c r="I61" s="1">
        <v>1</v>
      </c>
    </row>
    <row r="62" spans="1:9">
      <c r="A62" s="1">
        <v>1</v>
      </c>
      <c r="B62" s="1" t="s">
        <v>176</v>
      </c>
      <c r="C62" s="1" t="s">
        <v>10</v>
      </c>
      <c r="D62" s="1" t="s">
        <v>2205</v>
      </c>
      <c r="E62" s="1">
        <v>13</v>
      </c>
      <c r="F62" s="1">
        <v>1040.6191492764974</v>
      </c>
      <c r="G62" s="219">
        <v>1405055927.3988929</v>
      </c>
      <c r="H62" s="1">
        <v>5</v>
      </c>
      <c r="I62" s="1">
        <v>3</v>
      </c>
    </row>
    <row r="63" spans="1:9">
      <c r="A63" s="1">
        <v>1</v>
      </c>
      <c r="B63" s="1" t="s">
        <v>43</v>
      </c>
      <c r="C63" s="1" t="s">
        <v>10</v>
      </c>
      <c r="D63" s="1" t="s">
        <v>2154</v>
      </c>
      <c r="E63" s="1">
        <v>47.24</v>
      </c>
      <c r="F63" s="1">
        <v>258.83989384056815</v>
      </c>
      <c r="G63" s="219">
        <v>0</v>
      </c>
      <c r="H63" s="1">
        <v>5</v>
      </c>
      <c r="I63" s="1">
        <v>3</v>
      </c>
    </row>
    <row r="64" spans="1:9">
      <c r="A64" s="1">
        <v>1</v>
      </c>
      <c r="B64" s="1" t="s">
        <v>536</v>
      </c>
      <c r="C64" s="1" t="s">
        <v>10</v>
      </c>
      <c r="D64" s="1" t="s">
        <v>2155</v>
      </c>
      <c r="E64" s="1">
        <v>651.71</v>
      </c>
      <c r="F64" s="1">
        <v>14.027048865771437</v>
      </c>
      <c r="G64" s="219">
        <v>0</v>
      </c>
      <c r="H64" s="1">
        <v>1</v>
      </c>
      <c r="I64" s="1">
        <v>2</v>
      </c>
    </row>
    <row r="65" spans="1:9">
      <c r="A65" s="1">
        <v>1</v>
      </c>
      <c r="B65" s="1" t="s">
        <v>270</v>
      </c>
      <c r="C65" s="1" t="s">
        <v>10</v>
      </c>
      <c r="D65" s="1" t="s">
        <v>2206</v>
      </c>
      <c r="E65" s="1">
        <v>1</v>
      </c>
      <c r="F65" s="1">
        <v>132.53023616577744</v>
      </c>
      <c r="G65" s="219">
        <v>53645.085294414333</v>
      </c>
      <c r="H65" s="1">
        <v>4</v>
      </c>
      <c r="I65" s="1">
        <v>1</v>
      </c>
    </row>
    <row r="66" spans="1:9">
      <c r="A66" s="1">
        <v>1</v>
      </c>
      <c r="B66" s="1" t="s">
        <v>557</v>
      </c>
      <c r="C66" s="1" t="s">
        <v>10</v>
      </c>
      <c r="D66" s="1" t="s">
        <v>2199</v>
      </c>
      <c r="E66" s="1">
        <v>119</v>
      </c>
      <c r="F66" s="1">
        <v>4.3740045081721641</v>
      </c>
      <c r="G66" s="219">
        <v>0</v>
      </c>
      <c r="H66" s="1">
        <v>2</v>
      </c>
      <c r="I66" s="1">
        <v>3</v>
      </c>
    </row>
    <row r="67" spans="1:9">
      <c r="A67" s="1">
        <v>1</v>
      </c>
      <c r="B67" s="1" t="s">
        <v>147</v>
      </c>
      <c r="C67" s="1" t="s">
        <v>10</v>
      </c>
      <c r="D67" s="1" t="s">
        <v>2156</v>
      </c>
      <c r="E67" s="1">
        <v>651.71</v>
      </c>
      <c r="F67" s="1">
        <v>53.874264246257347</v>
      </c>
      <c r="G67" s="219">
        <v>0</v>
      </c>
      <c r="H67" s="1">
        <v>5</v>
      </c>
      <c r="I67" s="1">
        <v>3</v>
      </c>
    </row>
    <row r="68" spans="1:9">
      <c r="A68" s="1">
        <v>1</v>
      </c>
      <c r="B68" s="1" t="s">
        <v>138</v>
      </c>
      <c r="C68" s="1" t="s">
        <v>10</v>
      </c>
      <c r="D68" s="1" t="s">
        <v>2207</v>
      </c>
      <c r="E68" s="1">
        <v>651.71</v>
      </c>
      <c r="F68" s="1">
        <v>90.341198326055277</v>
      </c>
      <c r="G68" s="219">
        <v>40084253.06792587</v>
      </c>
      <c r="H68" s="1">
        <v>5</v>
      </c>
      <c r="I68" s="1">
        <v>2</v>
      </c>
    </row>
    <row r="69" spans="1:9">
      <c r="A69" s="1">
        <v>1</v>
      </c>
      <c r="B69" s="1" t="s">
        <v>26</v>
      </c>
      <c r="C69" s="1" t="s">
        <v>10</v>
      </c>
      <c r="D69" s="1" t="s">
        <v>2157</v>
      </c>
      <c r="E69" s="1">
        <v>5</v>
      </c>
      <c r="F69" s="1">
        <v>258.83989384056815</v>
      </c>
      <c r="G69" s="219">
        <v>13708.68177796276</v>
      </c>
      <c r="H69" s="1">
        <v>6</v>
      </c>
      <c r="I69" s="1">
        <v>1</v>
      </c>
    </row>
    <row r="70" spans="1:9">
      <c r="A70" s="1">
        <v>1</v>
      </c>
      <c r="B70" s="1" t="s">
        <v>33</v>
      </c>
      <c r="C70" s="1" t="s">
        <v>10</v>
      </c>
      <c r="D70" s="1" t="s">
        <v>2158</v>
      </c>
      <c r="E70" s="1">
        <v>322.2</v>
      </c>
      <c r="F70" s="1">
        <v>258.83989384056815</v>
      </c>
      <c r="G70" s="219">
        <v>2460214.5069701113</v>
      </c>
      <c r="H70" s="1">
        <v>6</v>
      </c>
      <c r="I70" s="1">
        <v>1</v>
      </c>
    </row>
    <row r="71" spans="1:9">
      <c r="A71" s="1">
        <v>1</v>
      </c>
      <c r="B71" s="1" t="s">
        <v>45</v>
      </c>
      <c r="C71" s="1" t="s">
        <v>10</v>
      </c>
      <c r="D71" s="1" t="s">
        <v>2159</v>
      </c>
      <c r="E71" s="1">
        <v>651.42999999999995</v>
      </c>
      <c r="F71" s="1">
        <v>150.00490816281206</v>
      </c>
      <c r="G71" s="219">
        <v>0</v>
      </c>
      <c r="H71" s="1">
        <v>5</v>
      </c>
      <c r="I71" s="1">
        <v>1</v>
      </c>
    </row>
    <row r="72" spans="1:9">
      <c r="A72" s="1">
        <v>1</v>
      </c>
      <c r="B72" s="1" t="s">
        <v>60</v>
      </c>
      <c r="C72" s="1" t="s">
        <v>10</v>
      </c>
      <c r="D72" s="1" t="s">
        <v>2208</v>
      </c>
      <c r="E72" s="1">
        <v>47.24</v>
      </c>
      <c r="F72" s="1">
        <v>258.83989384056815</v>
      </c>
      <c r="G72" s="219">
        <v>7329370.5517889718</v>
      </c>
      <c r="H72" s="1">
        <v>5</v>
      </c>
      <c r="I72" s="1">
        <v>3</v>
      </c>
    </row>
    <row r="73" spans="1:9">
      <c r="A73" s="1">
        <v>1</v>
      </c>
      <c r="B73" s="1" t="s">
        <v>98</v>
      </c>
      <c r="C73" s="1" t="s">
        <v>10</v>
      </c>
      <c r="D73" s="1" t="s">
        <v>2160</v>
      </c>
      <c r="E73" s="1">
        <v>651.71</v>
      </c>
      <c r="F73" s="1">
        <v>150.00490816281206</v>
      </c>
      <c r="G73" s="219">
        <v>0</v>
      </c>
      <c r="H73" s="1">
        <v>5</v>
      </c>
      <c r="I73" s="1">
        <v>1</v>
      </c>
    </row>
    <row r="74" spans="1:9">
      <c r="A74" s="1">
        <v>1</v>
      </c>
      <c r="B74" s="1" t="s">
        <v>46</v>
      </c>
      <c r="C74" s="1" t="s">
        <v>10</v>
      </c>
      <c r="D74" s="1" t="s">
        <v>2209</v>
      </c>
      <c r="E74" s="1">
        <v>69</v>
      </c>
      <c r="F74" s="1">
        <v>258.83989384056815</v>
      </c>
      <c r="G74" s="219">
        <v>1118368.6985682771</v>
      </c>
      <c r="H74" s="1">
        <v>5</v>
      </c>
      <c r="I74" s="1">
        <v>1</v>
      </c>
    </row>
    <row r="75" spans="1:9">
      <c r="A75" s="1">
        <v>1</v>
      </c>
      <c r="B75" s="1" t="s">
        <v>112</v>
      </c>
      <c r="C75" s="1" t="s">
        <v>10</v>
      </c>
      <c r="D75" s="1" t="s">
        <v>2161</v>
      </c>
      <c r="E75" s="1">
        <v>33.33</v>
      </c>
      <c r="F75" s="1">
        <v>258.83989384056815</v>
      </c>
      <c r="G75" s="219">
        <v>114.62880129686883</v>
      </c>
      <c r="H75" s="1">
        <v>4</v>
      </c>
      <c r="I75" s="1">
        <v>1</v>
      </c>
    </row>
    <row r="76" spans="1:9">
      <c r="A76" s="1">
        <v>1</v>
      </c>
      <c r="B76" s="1" t="s">
        <v>115</v>
      </c>
      <c r="C76" s="1" t="s">
        <v>10</v>
      </c>
      <c r="D76" s="1" t="s">
        <v>2162</v>
      </c>
      <c r="E76" s="1">
        <v>322.2</v>
      </c>
      <c r="F76" s="1">
        <v>258.83989384056815</v>
      </c>
      <c r="G76" s="219">
        <v>455124.95067961968</v>
      </c>
      <c r="H76" s="1">
        <v>5</v>
      </c>
      <c r="I76" s="1">
        <v>1</v>
      </c>
    </row>
    <row r="77" spans="1:9">
      <c r="A77" s="1">
        <v>1</v>
      </c>
      <c r="B77" s="1" t="s">
        <v>144</v>
      </c>
      <c r="C77" s="1" t="s">
        <v>10</v>
      </c>
      <c r="D77" s="1" t="s">
        <v>2210</v>
      </c>
      <c r="E77" s="1">
        <v>226</v>
      </c>
      <c r="F77" s="1">
        <v>258.83989384056815</v>
      </c>
      <c r="G77" s="219">
        <v>1118368.6985682771</v>
      </c>
      <c r="H77" s="1">
        <v>5</v>
      </c>
      <c r="I77" s="1">
        <v>1</v>
      </c>
    </row>
    <row r="78" spans="1:9">
      <c r="A78" s="1">
        <v>1</v>
      </c>
      <c r="B78" s="1" t="s">
        <v>88</v>
      </c>
      <c r="C78" s="1" t="s">
        <v>10</v>
      </c>
      <c r="D78" s="1" t="s">
        <v>2163</v>
      </c>
      <c r="E78" s="1">
        <v>7</v>
      </c>
      <c r="F78" s="1">
        <v>4.6128808545454545</v>
      </c>
      <c r="G78" s="219">
        <v>6037.2651280024857</v>
      </c>
      <c r="H78" s="1">
        <v>5</v>
      </c>
      <c r="I78" s="1">
        <v>3</v>
      </c>
    </row>
    <row r="79" spans="1:9">
      <c r="A79" s="1">
        <v>1</v>
      </c>
      <c r="B79" s="1" t="s">
        <v>188</v>
      </c>
      <c r="C79" s="1" t="s">
        <v>10</v>
      </c>
      <c r="D79" s="1" t="s">
        <v>2126</v>
      </c>
      <c r="E79" s="1">
        <v>440.3</v>
      </c>
      <c r="F79" s="1">
        <v>258.83989384056815</v>
      </c>
      <c r="G79" s="219">
        <v>19039068.056518976</v>
      </c>
      <c r="H79" s="1">
        <v>5</v>
      </c>
      <c r="I79" s="1">
        <v>2</v>
      </c>
    </row>
    <row r="80" spans="1:9">
      <c r="A80" s="1">
        <v>1</v>
      </c>
      <c r="B80" s="1" t="s">
        <v>243</v>
      </c>
      <c r="C80" s="1" t="s">
        <v>10</v>
      </c>
      <c r="D80" s="1" t="s">
        <v>2126</v>
      </c>
      <c r="E80" s="1">
        <v>440.3</v>
      </c>
      <c r="F80" s="1">
        <v>258.83989384056815</v>
      </c>
      <c r="G80" s="219">
        <v>19039068.056518976</v>
      </c>
      <c r="H80" s="1">
        <v>5</v>
      </c>
      <c r="I80" s="1">
        <v>2</v>
      </c>
    </row>
    <row r="81" spans="1:9">
      <c r="A81" s="1">
        <v>1</v>
      </c>
      <c r="B81" s="1" t="s">
        <v>217</v>
      </c>
      <c r="C81" s="1" t="s">
        <v>10</v>
      </c>
      <c r="D81" s="1" t="s">
        <v>2211</v>
      </c>
      <c r="E81" s="1">
        <v>47.24</v>
      </c>
      <c r="F81" s="1">
        <v>258.83989384056815</v>
      </c>
      <c r="G81" s="219">
        <v>10437807.971763333</v>
      </c>
      <c r="H81" s="1">
        <v>4</v>
      </c>
      <c r="I81" s="1">
        <v>1</v>
      </c>
    </row>
    <row r="82" spans="1:9">
      <c r="A82" s="1">
        <v>1</v>
      </c>
      <c r="B82" s="1" t="s">
        <v>219</v>
      </c>
      <c r="C82" s="1" t="s">
        <v>10</v>
      </c>
      <c r="D82" s="1" t="s">
        <v>2212</v>
      </c>
      <c r="E82" s="1">
        <v>47.24</v>
      </c>
      <c r="F82" s="1">
        <v>150.00490816281206</v>
      </c>
      <c r="G82" s="219">
        <v>619546.93494645087</v>
      </c>
      <c r="H82" s="1">
        <v>4</v>
      </c>
      <c r="I82" s="1">
        <v>1</v>
      </c>
    </row>
    <row r="83" spans="1:9">
      <c r="A83" s="1">
        <v>1</v>
      </c>
      <c r="B83" s="1" t="s">
        <v>229</v>
      </c>
      <c r="C83" s="1" t="s">
        <v>10</v>
      </c>
      <c r="D83" s="1" t="s">
        <v>2127</v>
      </c>
      <c r="E83" s="1">
        <v>47.24</v>
      </c>
      <c r="F83" s="1">
        <v>258.83989384056815</v>
      </c>
      <c r="G83" s="219">
        <v>2369113.3010542043</v>
      </c>
      <c r="H83" s="1">
        <v>4</v>
      </c>
      <c r="I83" s="1">
        <v>1</v>
      </c>
    </row>
    <row r="84" spans="1:9">
      <c r="A84" s="1">
        <v>1</v>
      </c>
      <c r="B84" s="1" t="s">
        <v>37</v>
      </c>
      <c r="C84" s="1" t="s">
        <v>10</v>
      </c>
      <c r="D84" s="1" t="s">
        <v>2213</v>
      </c>
      <c r="E84" s="1">
        <v>60</v>
      </c>
      <c r="F84" s="1">
        <v>258.83989384056815</v>
      </c>
      <c r="G84" s="219">
        <v>0</v>
      </c>
      <c r="H84" s="1">
        <v>4</v>
      </c>
      <c r="I84" s="1">
        <v>1</v>
      </c>
    </row>
    <row r="85" spans="1:9">
      <c r="A85" s="1">
        <v>1</v>
      </c>
      <c r="B85" s="1" t="s">
        <v>593</v>
      </c>
      <c r="C85" s="1" t="s">
        <v>10</v>
      </c>
      <c r="D85" s="1" t="s">
        <v>2202</v>
      </c>
      <c r="E85" s="1">
        <v>651.71</v>
      </c>
      <c r="F85" s="1">
        <v>258.83989384056815</v>
      </c>
      <c r="G85" s="219">
        <v>12054916.422549635</v>
      </c>
      <c r="H85" s="1">
        <v>4</v>
      </c>
      <c r="I85" s="1">
        <v>1</v>
      </c>
    </row>
    <row r="86" spans="1:9">
      <c r="A86" s="1">
        <v>1</v>
      </c>
      <c r="B86" s="1" t="s">
        <v>272</v>
      </c>
      <c r="C86" s="1" t="s">
        <v>10</v>
      </c>
      <c r="D86" s="1" t="s">
        <v>2214</v>
      </c>
      <c r="E86" s="1">
        <v>9</v>
      </c>
      <c r="F86" s="1">
        <v>258.83989384056815</v>
      </c>
      <c r="G86" s="219">
        <v>0</v>
      </c>
      <c r="H86" s="1">
        <v>5</v>
      </c>
      <c r="I86" s="1">
        <v>1</v>
      </c>
    </row>
    <row r="87" spans="1:9">
      <c r="A87" s="1">
        <v>1</v>
      </c>
      <c r="B87" s="1" t="s">
        <v>273</v>
      </c>
      <c r="C87" s="1" t="s">
        <v>10</v>
      </c>
      <c r="D87" s="1" t="s">
        <v>2215</v>
      </c>
      <c r="E87" s="1">
        <v>18</v>
      </c>
      <c r="F87" s="1">
        <v>258.83989384056815</v>
      </c>
      <c r="G87" s="219">
        <v>0</v>
      </c>
      <c r="H87" s="1">
        <v>5</v>
      </c>
      <c r="I87" s="1">
        <v>1</v>
      </c>
    </row>
    <row r="88" spans="1:9">
      <c r="A88" s="1">
        <v>1</v>
      </c>
      <c r="B88" s="1" t="s">
        <v>174</v>
      </c>
      <c r="C88" s="1" t="s">
        <v>10</v>
      </c>
      <c r="D88" s="1" t="s">
        <v>2164</v>
      </c>
      <c r="E88" s="1">
        <v>190</v>
      </c>
      <c r="F88" s="1">
        <v>73.44907785454545</v>
      </c>
      <c r="G88" s="219">
        <v>531408.2243676139</v>
      </c>
      <c r="H88" s="1">
        <v>4</v>
      </c>
      <c r="I88" s="1">
        <v>1</v>
      </c>
    </row>
    <row r="89" spans="1:9">
      <c r="A89" s="1">
        <v>1</v>
      </c>
      <c r="B89" s="1" t="s">
        <v>284</v>
      </c>
      <c r="C89" s="1" t="s">
        <v>10</v>
      </c>
      <c r="D89" s="1" t="s">
        <v>2216</v>
      </c>
      <c r="E89" s="1">
        <v>311.43</v>
      </c>
      <c r="F89" s="1">
        <v>258.83989384056815</v>
      </c>
      <c r="G89" s="219">
        <v>34306.446700501365</v>
      </c>
      <c r="H89" s="1">
        <v>5</v>
      </c>
      <c r="I89" s="1">
        <v>1</v>
      </c>
    </row>
    <row r="90" spans="1:9">
      <c r="A90" s="1">
        <v>1</v>
      </c>
      <c r="B90" s="1" t="s">
        <v>530</v>
      </c>
      <c r="C90" s="1" t="s">
        <v>10</v>
      </c>
      <c r="D90" s="1" t="s">
        <v>2217</v>
      </c>
      <c r="E90" s="1">
        <v>7163</v>
      </c>
      <c r="F90" s="1">
        <v>8.4336543578514807</v>
      </c>
      <c r="G90" s="219">
        <v>3899106.170052486</v>
      </c>
      <c r="H90" s="1">
        <v>1</v>
      </c>
      <c r="I90" s="1">
        <v>1</v>
      </c>
    </row>
    <row r="91" spans="1:9">
      <c r="A91" s="1">
        <v>1</v>
      </c>
      <c r="B91" s="1" t="s">
        <v>64</v>
      </c>
      <c r="C91" s="1" t="s">
        <v>10</v>
      </c>
      <c r="D91" s="1" t="s">
        <v>2218</v>
      </c>
      <c r="E91" s="1">
        <v>431.43</v>
      </c>
      <c r="F91" s="1">
        <v>8.4336543578514807</v>
      </c>
      <c r="G91" s="219">
        <v>392779.47812477732</v>
      </c>
      <c r="H91" s="1">
        <v>1</v>
      </c>
      <c r="I91" s="1">
        <v>1</v>
      </c>
    </row>
    <row r="92" spans="1:9">
      <c r="A92" s="1">
        <v>0</v>
      </c>
      <c r="B92" s="1" t="s">
        <v>548</v>
      </c>
      <c r="C92" s="1" t="s">
        <v>10</v>
      </c>
      <c r="D92" s="1" t="e">
        <v>#DIV/0!</v>
      </c>
      <c r="E92" s="1"/>
      <c r="F92" s="1">
        <v>8.4336543578514807</v>
      </c>
      <c r="G92" s="219">
        <v>454310.87537796033</v>
      </c>
      <c r="H92" s="1">
        <v>1</v>
      </c>
      <c r="I92" s="1">
        <v>1</v>
      </c>
    </row>
    <row r="93" spans="1:9">
      <c r="A93" s="1">
        <v>0</v>
      </c>
      <c r="B93" s="1" t="s">
        <v>182</v>
      </c>
      <c r="C93" s="1" t="s">
        <v>10</v>
      </c>
      <c r="D93" s="1" t="e">
        <v>#DIV/0!</v>
      </c>
      <c r="E93" s="1">
        <v>651.71</v>
      </c>
      <c r="F93" s="1">
        <v>8.4336543578514807</v>
      </c>
      <c r="G93" s="219">
        <v>17621262.970826574</v>
      </c>
      <c r="H93" s="1">
        <v>2</v>
      </c>
      <c r="I93" s="1">
        <v>1</v>
      </c>
    </row>
    <row r="94" spans="1:9">
      <c r="A94" s="1">
        <v>1</v>
      </c>
      <c r="B94" s="1" t="s">
        <v>158</v>
      </c>
      <c r="C94" s="1" t="s">
        <v>10</v>
      </c>
      <c r="D94" s="1" t="s">
        <v>2165</v>
      </c>
      <c r="E94" s="1">
        <v>651.42999999999995</v>
      </c>
      <c r="F94" s="1">
        <v>0</v>
      </c>
      <c r="G94" s="219">
        <v>0</v>
      </c>
      <c r="H94" s="1">
        <v>3</v>
      </c>
      <c r="I94" s="1">
        <v>3</v>
      </c>
    </row>
    <row r="95" spans="1:9">
      <c r="A95" s="1">
        <v>1</v>
      </c>
      <c r="B95" s="1" t="s">
        <v>198</v>
      </c>
      <c r="C95" s="1" t="s">
        <v>10</v>
      </c>
      <c r="D95" s="1" t="s">
        <v>2166</v>
      </c>
      <c r="E95" s="1">
        <v>3338</v>
      </c>
      <c r="F95" s="1">
        <v>43.224835089791341</v>
      </c>
      <c r="G95" s="219">
        <v>3176615.2698612376</v>
      </c>
      <c r="H95" s="1">
        <v>4</v>
      </c>
      <c r="I95" s="1">
        <v>3</v>
      </c>
    </row>
    <row r="96" spans="1:9">
      <c r="A96" s="1">
        <v>1</v>
      </c>
      <c r="B96" s="1" t="s">
        <v>149</v>
      </c>
      <c r="C96" s="1" t="s">
        <v>10</v>
      </c>
      <c r="D96" s="1" t="s">
        <v>2219</v>
      </c>
      <c r="E96" s="1">
        <v>2040</v>
      </c>
      <c r="F96" s="1">
        <v>389.5973095386438</v>
      </c>
      <c r="G96" s="219">
        <v>3.4822064103957406</v>
      </c>
      <c r="H96" s="1">
        <v>6</v>
      </c>
      <c r="I96" s="1">
        <v>1</v>
      </c>
    </row>
    <row r="97" spans="1:9">
      <c r="A97" s="1">
        <v>1</v>
      </c>
      <c r="B97" s="1" t="s">
        <v>254</v>
      </c>
      <c r="C97" s="1" t="s">
        <v>10</v>
      </c>
      <c r="D97" s="1" t="s">
        <v>2167</v>
      </c>
      <c r="E97" s="1">
        <v>322.2</v>
      </c>
      <c r="F97" s="1">
        <v>51.210689981818177</v>
      </c>
      <c r="G97" s="219">
        <v>61500.620071719495</v>
      </c>
      <c r="H97" s="1">
        <v>6</v>
      </c>
      <c r="I97" s="1">
        <v>1</v>
      </c>
    </row>
    <row r="98" spans="1:9">
      <c r="A98" s="1">
        <v>1</v>
      </c>
      <c r="B98" s="1" t="s">
        <v>281</v>
      </c>
      <c r="C98" s="1" t="s">
        <v>29</v>
      </c>
      <c r="D98" s="1" t="s">
        <v>2168</v>
      </c>
      <c r="E98" s="1">
        <v>36.340000000000003</v>
      </c>
      <c r="F98" s="1">
        <v>6.1524337998613339</v>
      </c>
      <c r="G98" s="219">
        <v>98840.177792093338</v>
      </c>
      <c r="H98" s="1">
        <v>3</v>
      </c>
      <c r="I98" s="1">
        <v>1</v>
      </c>
    </row>
    <row r="99" spans="1:9">
      <c r="A99" s="1">
        <v>1</v>
      </c>
      <c r="B99" s="1" t="s">
        <v>79</v>
      </c>
      <c r="C99" s="1" t="s">
        <v>29</v>
      </c>
      <c r="D99" s="1" t="s">
        <v>2169</v>
      </c>
      <c r="E99" s="1">
        <v>72799</v>
      </c>
      <c r="F99" s="1">
        <v>54.545454545454547</v>
      </c>
      <c r="G99" s="219">
        <v>0</v>
      </c>
      <c r="H99" s="1">
        <v>2</v>
      </c>
      <c r="I99" s="1">
        <v>3</v>
      </c>
    </row>
    <row r="100" spans="1:9">
      <c r="A100" s="1">
        <v>1</v>
      </c>
      <c r="B100" s="1" t="s">
        <v>39</v>
      </c>
      <c r="C100" s="1" t="s">
        <v>29</v>
      </c>
      <c r="D100" s="1" t="s">
        <v>2170</v>
      </c>
      <c r="E100" s="1">
        <v>147</v>
      </c>
      <c r="F100" s="1">
        <v>131.252484561122</v>
      </c>
      <c r="G100" s="219">
        <v>102442189.71036677</v>
      </c>
      <c r="H100" s="1">
        <v>6</v>
      </c>
      <c r="I100" s="1">
        <v>1</v>
      </c>
    </row>
    <row r="101" spans="1:9">
      <c r="A101" s="1">
        <v>1</v>
      </c>
      <c r="B101" s="1" t="s">
        <v>136</v>
      </c>
      <c r="C101" s="1" t="s">
        <v>29</v>
      </c>
      <c r="D101" s="1" t="s">
        <v>2220</v>
      </c>
      <c r="E101" s="1">
        <v>58</v>
      </c>
      <c r="F101" s="1">
        <v>13.055476801861477</v>
      </c>
      <c r="G101" s="219">
        <v>6010562.2102686018</v>
      </c>
      <c r="H101" s="1">
        <v>3</v>
      </c>
      <c r="I101" s="1">
        <v>2</v>
      </c>
    </row>
    <row r="102" spans="1:9">
      <c r="A102" s="1">
        <v>1</v>
      </c>
      <c r="B102" s="1" t="s">
        <v>28</v>
      </c>
      <c r="C102" s="1" t="s">
        <v>29</v>
      </c>
      <c r="D102" s="1" t="s">
        <v>2203</v>
      </c>
      <c r="E102" s="1">
        <v>64</v>
      </c>
      <c r="F102" s="1">
        <v>315.44119651731222</v>
      </c>
      <c r="G102" s="219">
        <v>77049666.661318675</v>
      </c>
      <c r="H102" s="1">
        <v>5</v>
      </c>
      <c r="I102" s="1">
        <v>1</v>
      </c>
    </row>
    <row r="103" spans="1:9">
      <c r="A103" s="1">
        <v>1</v>
      </c>
      <c r="B103" s="1" t="s">
        <v>207</v>
      </c>
      <c r="C103" s="1" t="s">
        <v>29</v>
      </c>
      <c r="D103" s="1" t="s">
        <v>2221</v>
      </c>
      <c r="E103" s="1">
        <v>11484</v>
      </c>
      <c r="F103" s="1">
        <v>56.898739446870437</v>
      </c>
      <c r="G103" s="219">
        <v>1058430.7107064305</v>
      </c>
      <c r="H103" s="1">
        <v>2</v>
      </c>
      <c r="I103" s="1">
        <v>1</v>
      </c>
    </row>
    <row r="104" spans="1:9">
      <c r="A104" s="1">
        <v>1</v>
      </c>
      <c r="B104" s="1" t="s">
        <v>195</v>
      </c>
      <c r="C104" s="1" t="s">
        <v>29</v>
      </c>
      <c r="D104" s="1" t="s">
        <v>2222</v>
      </c>
      <c r="E104" s="1">
        <v>2908</v>
      </c>
      <c r="F104" s="1">
        <v>4.6462872224155412</v>
      </c>
      <c r="G104" s="219">
        <v>0</v>
      </c>
      <c r="H104" s="1">
        <v>3</v>
      </c>
      <c r="I104" s="1">
        <v>1</v>
      </c>
    </row>
    <row r="105" spans="1:9">
      <c r="A105" s="1">
        <v>1</v>
      </c>
      <c r="B105" s="1" t="s">
        <v>160</v>
      </c>
      <c r="C105" s="1" t="s">
        <v>29</v>
      </c>
      <c r="D105" s="1" t="s">
        <v>2223</v>
      </c>
      <c r="E105" s="1">
        <v>62.55</v>
      </c>
      <c r="F105" s="1">
        <v>4.590135157859291</v>
      </c>
      <c r="G105" s="219">
        <v>8097.4682789550006</v>
      </c>
      <c r="H105" s="1">
        <v>3</v>
      </c>
      <c r="I105" s="1">
        <v>1</v>
      </c>
    </row>
    <row r="106" spans="1:9">
      <c r="A106" s="1">
        <v>1</v>
      </c>
      <c r="B106" s="1" t="s">
        <v>523</v>
      </c>
      <c r="C106" s="1" t="s">
        <v>29</v>
      </c>
      <c r="D106" s="1" t="s">
        <v>2224</v>
      </c>
      <c r="E106" s="1">
        <v>681</v>
      </c>
      <c r="F106" s="1">
        <v>5.9143082948281922</v>
      </c>
      <c r="G106" s="219">
        <v>492322.24007590773</v>
      </c>
      <c r="H106" s="1">
        <v>2</v>
      </c>
      <c r="I106" s="1">
        <v>1</v>
      </c>
    </row>
    <row r="107" spans="1:9">
      <c r="A107" s="1">
        <v>0</v>
      </c>
      <c r="B107" s="1" t="s">
        <v>275</v>
      </c>
      <c r="C107" s="1" t="s">
        <v>29</v>
      </c>
      <c r="D107" s="1" t="e">
        <v>#DIV/0!</v>
      </c>
      <c r="E107" s="1"/>
      <c r="F107" s="1">
        <v>371.50470719179032</v>
      </c>
      <c r="G107" s="219">
        <v>0</v>
      </c>
      <c r="H107" s="1">
        <v>4</v>
      </c>
      <c r="I107" s="1">
        <v>1</v>
      </c>
    </row>
    <row r="108" spans="1:9">
      <c r="A108" s="1">
        <v>1</v>
      </c>
      <c r="B108" s="1" t="s">
        <v>180</v>
      </c>
      <c r="C108" s="1" t="s">
        <v>29</v>
      </c>
      <c r="D108" s="1" t="s">
        <v>2225</v>
      </c>
      <c r="E108" s="1">
        <v>702.86</v>
      </c>
      <c r="F108" s="1">
        <v>20.51416930909091</v>
      </c>
      <c r="G108" s="219">
        <v>1197.0322594295153</v>
      </c>
      <c r="H108" s="1">
        <v>4</v>
      </c>
      <c r="I108" s="1">
        <v>1</v>
      </c>
    </row>
    <row r="109" spans="1:9">
      <c r="A109" s="1">
        <v>0</v>
      </c>
      <c r="B109" s="1" t="s">
        <v>110</v>
      </c>
      <c r="C109" s="1" t="s">
        <v>29</v>
      </c>
      <c r="D109" s="1" t="e">
        <v>#DIV/0!</v>
      </c>
      <c r="E109" s="1"/>
      <c r="F109" s="1">
        <v>14.844131960273796</v>
      </c>
      <c r="G109" s="219">
        <v>1439369.1985627825</v>
      </c>
      <c r="H109" s="1">
        <v>2</v>
      </c>
      <c r="I109" s="1">
        <v>1</v>
      </c>
    </row>
    <row r="110" spans="1:9">
      <c r="A110" s="1">
        <v>1</v>
      </c>
      <c r="B110" s="1" t="s">
        <v>101</v>
      </c>
      <c r="C110" s="1" t="s">
        <v>29</v>
      </c>
      <c r="D110" s="1" t="s">
        <v>2171</v>
      </c>
      <c r="E110" s="1">
        <v>3560</v>
      </c>
      <c r="F110" s="1">
        <v>4.6930245822706516</v>
      </c>
      <c r="G110" s="219">
        <v>0</v>
      </c>
      <c r="H110" s="1">
        <v>3</v>
      </c>
      <c r="I110" s="1">
        <v>1</v>
      </c>
    </row>
    <row r="111" spans="1:9">
      <c r="A111" s="1">
        <v>1</v>
      </c>
      <c r="B111" s="1" t="s">
        <v>476</v>
      </c>
      <c r="C111" s="1" t="s">
        <v>29</v>
      </c>
      <c r="D111" s="1" t="s">
        <v>2226</v>
      </c>
      <c r="E111" s="1">
        <v>12680</v>
      </c>
      <c r="F111" s="1">
        <v>211.47225197349621</v>
      </c>
      <c r="G111" s="219">
        <v>13112309.492223877</v>
      </c>
      <c r="H111" s="1">
        <v>5</v>
      </c>
      <c r="I111" s="1">
        <v>1</v>
      </c>
    </row>
    <row r="112" spans="1:9">
      <c r="A112" s="1">
        <v>1</v>
      </c>
      <c r="B112" s="1" t="s">
        <v>266</v>
      </c>
      <c r="C112" s="1" t="s">
        <v>29</v>
      </c>
      <c r="D112" s="1" t="s">
        <v>2227</v>
      </c>
      <c r="E112" s="1">
        <v>17</v>
      </c>
      <c r="F112" s="1">
        <v>8.0435294759825311</v>
      </c>
      <c r="G112" s="219">
        <v>843085.81947628059</v>
      </c>
      <c r="H112" s="1">
        <v>3</v>
      </c>
      <c r="I112" s="1">
        <v>1</v>
      </c>
    </row>
    <row r="113" spans="1:9">
      <c r="A113" s="1">
        <v>1</v>
      </c>
      <c r="B113" s="1" t="s">
        <v>420</v>
      </c>
      <c r="C113" s="1" t="s">
        <v>29</v>
      </c>
      <c r="D113" s="1" t="s">
        <v>2228</v>
      </c>
      <c r="E113" s="1">
        <v>142.86000000000001</v>
      </c>
      <c r="F113" s="1">
        <v>1.0756815866084422</v>
      </c>
      <c r="G113" s="219">
        <v>904048.95750420843</v>
      </c>
      <c r="H113" s="1">
        <v>1</v>
      </c>
      <c r="I113" s="1">
        <v>2</v>
      </c>
    </row>
    <row r="114" spans="1:9">
      <c r="A114" s="1">
        <v>1</v>
      </c>
      <c r="B114" s="1" t="s">
        <v>483</v>
      </c>
      <c r="C114" s="1" t="s">
        <v>29</v>
      </c>
      <c r="D114" s="1" t="s">
        <v>2171</v>
      </c>
      <c r="E114" s="1">
        <v>3.16</v>
      </c>
      <c r="F114" s="1">
        <v>52.459151429400706</v>
      </c>
      <c r="G114" s="219">
        <v>0</v>
      </c>
      <c r="H114" s="1">
        <v>4</v>
      </c>
      <c r="I114" s="1">
        <v>1</v>
      </c>
    </row>
    <row r="115" spans="1:9">
      <c r="A115" s="1">
        <v>1</v>
      </c>
      <c r="B115" s="1" t="s">
        <v>145</v>
      </c>
      <c r="C115" s="1" t="s">
        <v>29</v>
      </c>
      <c r="D115" s="1" t="s">
        <v>2172</v>
      </c>
      <c r="E115" s="1">
        <v>2626</v>
      </c>
      <c r="F115" s="1">
        <v>117.43499263361863</v>
      </c>
      <c r="G115" s="219">
        <v>4489774.6383685078</v>
      </c>
      <c r="H115" s="1">
        <v>5</v>
      </c>
      <c r="I115" s="1">
        <v>3</v>
      </c>
    </row>
    <row r="116" spans="1:9">
      <c r="A116" s="1">
        <v>1</v>
      </c>
      <c r="B116" s="1" t="s">
        <v>83</v>
      </c>
      <c r="C116" s="1" t="s">
        <v>29</v>
      </c>
      <c r="D116" s="1" t="s">
        <v>2173</v>
      </c>
      <c r="E116" s="1">
        <v>1032</v>
      </c>
      <c r="F116" s="1">
        <v>178.62736317321685</v>
      </c>
      <c r="G116" s="219">
        <v>4780496.9441868979</v>
      </c>
      <c r="H116" s="1">
        <v>4</v>
      </c>
      <c r="I116" s="1">
        <v>3</v>
      </c>
    </row>
    <row r="117" spans="1:9">
      <c r="A117" s="1">
        <v>1</v>
      </c>
      <c r="B117" s="1" t="s">
        <v>114</v>
      </c>
      <c r="C117" s="1" t="s">
        <v>29</v>
      </c>
      <c r="D117" s="1" t="s">
        <v>2174</v>
      </c>
      <c r="E117" s="1">
        <v>1089</v>
      </c>
      <c r="F117" s="1">
        <v>2.7186758195732246</v>
      </c>
      <c r="G117" s="219">
        <v>103940.41393392353</v>
      </c>
      <c r="H117" s="1">
        <v>2</v>
      </c>
      <c r="I117" s="1">
        <v>3</v>
      </c>
    </row>
    <row r="118" spans="1:9">
      <c r="A118" s="1">
        <v>1</v>
      </c>
      <c r="B118" s="1" t="s">
        <v>151</v>
      </c>
      <c r="C118" s="1" t="s">
        <v>29</v>
      </c>
      <c r="D118" s="1" t="s">
        <v>2175</v>
      </c>
      <c r="E118" s="1">
        <v>2301</v>
      </c>
      <c r="F118" s="1">
        <v>20.903543668122268</v>
      </c>
      <c r="G118" s="219">
        <v>799184.28151965048</v>
      </c>
      <c r="H118" s="1">
        <v>3</v>
      </c>
      <c r="I118" s="1">
        <v>3</v>
      </c>
    </row>
    <row r="119" spans="1:9">
      <c r="A119" s="1">
        <v>1</v>
      </c>
      <c r="B119" s="1" t="s">
        <v>199</v>
      </c>
      <c r="C119" s="1" t="s">
        <v>29</v>
      </c>
      <c r="D119" s="1" t="s">
        <v>2229</v>
      </c>
      <c r="E119" s="1">
        <v>1675</v>
      </c>
      <c r="F119" s="1">
        <v>5.0963202539917436</v>
      </c>
      <c r="G119" s="219">
        <v>32631.865774760714</v>
      </c>
      <c r="H119" s="1">
        <v>3</v>
      </c>
      <c r="I119" s="1">
        <v>2</v>
      </c>
    </row>
    <row r="120" spans="1:9">
      <c r="A120" s="1">
        <v>1</v>
      </c>
      <c r="B120" s="1" t="s">
        <v>438</v>
      </c>
      <c r="C120" s="1" t="s">
        <v>29</v>
      </c>
      <c r="D120" s="1" t="s">
        <v>2231</v>
      </c>
      <c r="E120" s="1">
        <v>64</v>
      </c>
      <c r="F120" s="1">
        <v>0</v>
      </c>
      <c r="G120" s="219">
        <v>0</v>
      </c>
      <c r="H120" s="1">
        <v>2</v>
      </c>
      <c r="I120" s="1">
        <v>2</v>
      </c>
    </row>
    <row r="121" spans="1:9">
      <c r="A121" s="1">
        <v>1</v>
      </c>
      <c r="B121" s="1" t="s">
        <v>206</v>
      </c>
      <c r="C121" s="1" t="s">
        <v>29</v>
      </c>
      <c r="D121" s="1" t="s">
        <v>2230</v>
      </c>
      <c r="E121" s="1">
        <v>27</v>
      </c>
      <c r="F121" s="1">
        <v>11.818181818181818</v>
      </c>
      <c r="G121" s="219">
        <v>171327199.24533302</v>
      </c>
      <c r="H121" s="1">
        <v>2</v>
      </c>
      <c r="I121" s="1">
        <v>1</v>
      </c>
    </row>
    <row r="122" spans="1:9">
      <c r="A122" s="1">
        <v>0</v>
      </c>
      <c r="B122" s="1" t="s">
        <v>451</v>
      </c>
      <c r="C122" s="1" t="s">
        <v>29</v>
      </c>
      <c r="D122" s="1" t="e">
        <v>#DIV/0!</v>
      </c>
      <c r="E122" s="1"/>
      <c r="F122" s="1">
        <v>30.858374081286172</v>
      </c>
      <c r="G122" s="219">
        <v>0</v>
      </c>
      <c r="H122" s="1">
        <v>2</v>
      </c>
      <c r="I122" s="1">
        <v>1</v>
      </c>
    </row>
    <row r="123" spans="1:9">
      <c r="A123" s="1">
        <v>1</v>
      </c>
      <c r="B123" s="1" t="s">
        <v>129</v>
      </c>
      <c r="C123" s="1" t="s">
        <v>29</v>
      </c>
      <c r="D123" s="1" t="s">
        <v>2232</v>
      </c>
      <c r="E123" s="1">
        <v>1100</v>
      </c>
      <c r="F123" s="1">
        <v>218.18181818181819</v>
      </c>
      <c r="G123" s="219">
        <v>17289184.006952729</v>
      </c>
      <c r="H123" s="1">
        <v>2</v>
      </c>
      <c r="I123" s="1">
        <v>1</v>
      </c>
    </row>
    <row r="124" spans="1:9">
      <c r="A124" s="1">
        <v>1</v>
      </c>
      <c r="B124" s="1" t="s">
        <v>31</v>
      </c>
      <c r="C124" s="1" t="s">
        <v>29</v>
      </c>
      <c r="D124" s="1" t="s">
        <v>2233</v>
      </c>
      <c r="E124" s="1">
        <v>1385.72</v>
      </c>
      <c r="F124" s="1">
        <v>15.683641868466319</v>
      </c>
      <c r="G124" s="219">
        <v>566226.66353921324</v>
      </c>
      <c r="H124" s="1">
        <v>1</v>
      </c>
      <c r="I124" s="1">
        <v>1</v>
      </c>
    </row>
    <row r="125" spans="1:9">
      <c r="A125" s="1">
        <v>1</v>
      </c>
      <c r="B125" s="1" t="s">
        <v>494</v>
      </c>
      <c r="C125" s="1" t="s">
        <v>29</v>
      </c>
      <c r="D125" s="1" t="s">
        <v>2234</v>
      </c>
      <c r="E125" s="1">
        <v>4813</v>
      </c>
      <c r="F125" s="1">
        <v>65.916776743721471</v>
      </c>
      <c r="G125" s="219">
        <v>19393015.403463859</v>
      </c>
      <c r="H125" s="1">
        <v>2</v>
      </c>
      <c r="I125" s="1">
        <v>1</v>
      </c>
    </row>
    <row r="126" spans="1:9">
      <c r="A126" s="1">
        <v>1</v>
      </c>
      <c r="B126" s="1" t="s">
        <v>66</v>
      </c>
      <c r="C126" s="1" t="s">
        <v>29</v>
      </c>
      <c r="D126" s="1" t="s">
        <v>2171</v>
      </c>
      <c r="E126" s="1">
        <v>334.29</v>
      </c>
      <c r="F126" s="1">
        <v>6.2864144902646331</v>
      </c>
      <c r="G126" s="219">
        <v>363.40320892777413</v>
      </c>
      <c r="H126" s="1">
        <v>2</v>
      </c>
      <c r="I126" s="1">
        <v>2</v>
      </c>
    </row>
    <row r="127" spans="1:9">
      <c r="A127" s="1">
        <v>1</v>
      </c>
      <c r="B127" s="1" t="s">
        <v>77</v>
      </c>
      <c r="C127" s="1" t="s">
        <v>29</v>
      </c>
      <c r="D127" s="1" t="s">
        <v>2235</v>
      </c>
      <c r="E127" s="1">
        <v>1</v>
      </c>
      <c r="F127" s="1">
        <v>727.27272727272725</v>
      </c>
      <c r="G127" s="219">
        <v>122229628.29111272</v>
      </c>
      <c r="H127" s="1">
        <v>3</v>
      </c>
      <c r="I127" s="1">
        <v>1</v>
      </c>
    </row>
    <row r="128" spans="1:9">
      <c r="A128" s="1">
        <v>1</v>
      </c>
      <c r="B128" s="1" t="s">
        <v>239</v>
      </c>
      <c r="C128" s="1" t="s">
        <v>29</v>
      </c>
      <c r="D128" s="1" t="s">
        <v>2236</v>
      </c>
      <c r="E128" s="1">
        <v>651.71</v>
      </c>
      <c r="F128" s="1">
        <v>0.20685543556503949</v>
      </c>
      <c r="G128" s="219">
        <v>15376.951077440399</v>
      </c>
      <c r="H128" s="1">
        <v>0</v>
      </c>
      <c r="I128" s="1">
        <v>1</v>
      </c>
    </row>
    <row r="129" spans="1:9">
      <c r="A129" s="1">
        <v>1</v>
      </c>
      <c r="B129" s="1" t="s">
        <v>118</v>
      </c>
      <c r="C129" s="1" t="s">
        <v>29</v>
      </c>
      <c r="D129" s="1" t="s">
        <v>2262</v>
      </c>
      <c r="E129" s="1">
        <v>651.71</v>
      </c>
      <c r="F129" s="1">
        <v>103.38567429831774</v>
      </c>
      <c r="G129" s="219">
        <v>31345350.787170298</v>
      </c>
      <c r="H129" s="1">
        <v>2</v>
      </c>
      <c r="I129" s="1">
        <v>1</v>
      </c>
    </row>
    <row r="130" spans="1:9">
      <c r="A130" s="1">
        <v>1</v>
      </c>
      <c r="B130" s="1" t="s">
        <v>178</v>
      </c>
      <c r="C130" s="1" t="s">
        <v>29</v>
      </c>
      <c r="D130" s="1" t="s">
        <v>2263</v>
      </c>
      <c r="E130" s="1">
        <v>172</v>
      </c>
      <c r="F130" s="1">
        <v>392.38193673218166</v>
      </c>
      <c r="G130" s="219">
        <v>118965703.25526839</v>
      </c>
      <c r="H130" s="1">
        <v>4</v>
      </c>
      <c r="I130" s="1">
        <v>3</v>
      </c>
    </row>
    <row r="131" spans="1:9">
      <c r="A131" s="1">
        <v>1</v>
      </c>
      <c r="B131" s="1" t="s">
        <v>186</v>
      </c>
      <c r="C131" s="1" t="s">
        <v>29</v>
      </c>
      <c r="D131" s="1" t="s">
        <v>2263</v>
      </c>
      <c r="E131" s="1">
        <v>4393</v>
      </c>
      <c r="F131" s="1">
        <v>2.375781286836963</v>
      </c>
      <c r="G131" s="219">
        <v>720309.6399470038</v>
      </c>
      <c r="H131" s="1">
        <v>0</v>
      </c>
      <c r="I131" s="1">
        <v>1</v>
      </c>
    </row>
    <row r="132" spans="1:9">
      <c r="A132" s="1">
        <v>1</v>
      </c>
      <c r="B132" s="1" t="s">
        <v>511</v>
      </c>
      <c r="C132" s="1" t="s">
        <v>29</v>
      </c>
      <c r="D132" s="1" t="s">
        <v>2237</v>
      </c>
      <c r="E132" s="1">
        <v>96</v>
      </c>
      <c r="F132" s="1">
        <v>17.801441652327846</v>
      </c>
      <c r="G132" s="219">
        <v>0</v>
      </c>
      <c r="H132" s="1">
        <v>1</v>
      </c>
      <c r="I132" s="1">
        <v>1</v>
      </c>
    </row>
    <row r="133" spans="1:9">
      <c r="A133" s="1">
        <v>1</v>
      </c>
      <c r="B133" s="1" t="s">
        <v>41</v>
      </c>
      <c r="C133" s="1" t="s">
        <v>29</v>
      </c>
      <c r="D133" s="1" t="s">
        <v>2238</v>
      </c>
      <c r="E133" s="1">
        <v>1499</v>
      </c>
      <c r="F133" s="1">
        <v>246.07420414847158</v>
      </c>
      <c r="G133" s="219">
        <v>54038.197886585272</v>
      </c>
      <c r="H133" s="1">
        <v>4</v>
      </c>
      <c r="I133" s="1">
        <v>1</v>
      </c>
    </row>
    <row r="134" spans="1:9">
      <c r="A134" s="1">
        <v>1</v>
      </c>
      <c r="B134" s="1" t="s">
        <v>70</v>
      </c>
      <c r="C134" s="1" t="s">
        <v>29</v>
      </c>
      <c r="D134" s="1" t="s">
        <v>2176</v>
      </c>
      <c r="E134" s="1">
        <v>237</v>
      </c>
      <c r="F134" s="1">
        <v>0</v>
      </c>
      <c r="G134" s="219">
        <v>0</v>
      </c>
      <c r="H134" s="1">
        <v>3</v>
      </c>
      <c r="I134" s="1">
        <v>3</v>
      </c>
    </row>
    <row r="135" spans="1:9">
      <c r="A135" s="1">
        <v>1</v>
      </c>
      <c r="B135" s="1" t="s">
        <v>211</v>
      </c>
      <c r="C135" s="1" t="s">
        <v>29</v>
      </c>
      <c r="D135" s="1" t="s">
        <v>2264</v>
      </c>
      <c r="E135" s="1">
        <v>437</v>
      </c>
      <c r="F135" s="1">
        <v>21.48152183406113</v>
      </c>
      <c r="G135" s="219">
        <v>778267.21676744753</v>
      </c>
      <c r="H135" s="1">
        <v>3</v>
      </c>
      <c r="I135" s="1">
        <v>1</v>
      </c>
    </row>
    <row r="136" spans="1:9">
      <c r="A136" s="1">
        <v>1</v>
      </c>
      <c r="B136" s="1" t="s">
        <v>96</v>
      </c>
      <c r="C136" s="1" t="s">
        <v>29</v>
      </c>
      <c r="D136" s="1" t="s">
        <v>2239</v>
      </c>
      <c r="E136" s="1">
        <v>115</v>
      </c>
      <c r="F136" s="1">
        <v>36.701613537117886</v>
      </c>
      <c r="G136" s="219">
        <v>88241.14482159316</v>
      </c>
      <c r="H136" s="1">
        <v>4</v>
      </c>
      <c r="I136" s="1">
        <v>3</v>
      </c>
    </row>
    <row r="137" spans="1:9">
      <c r="A137" s="1">
        <v>1</v>
      </c>
      <c r="B137" s="1" t="s">
        <v>237</v>
      </c>
      <c r="C137" s="1" t="s">
        <v>29</v>
      </c>
      <c r="D137" s="1" t="s">
        <v>2240</v>
      </c>
      <c r="E137" s="1">
        <v>1499</v>
      </c>
      <c r="F137" s="1">
        <v>132.56571433770009</v>
      </c>
      <c r="G137" s="219">
        <v>3735.2639837587672</v>
      </c>
      <c r="H137" s="1">
        <v>4</v>
      </c>
      <c r="I137" s="1">
        <v>2</v>
      </c>
    </row>
    <row r="138" spans="1:9">
      <c r="A138" s="1">
        <v>1</v>
      </c>
      <c r="B138" s="1" t="s">
        <v>491</v>
      </c>
      <c r="C138" s="1" t="s">
        <v>29</v>
      </c>
      <c r="D138" s="1" t="s">
        <v>2241</v>
      </c>
      <c r="E138" s="1">
        <v>832</v>
      </c>
      <c r="F138" s="1">
        <v>5.795836608442503</v>
      </c>
      <c r="G138" s="219">
        <v>353.86260535748556</v>
      </c>
      <c r="H138" s="1">
        <v>1</v>
      </c>
      <c r="I138" s="1">
        <v>1</v>
      </c>
    </row>
    <row r="139" spans="1:9">
      <c r="A139" s="1">
        <v>0</v>
      </c>
      <c r="B139" s="1" t="s">
        <v>434</v>
      </c>
      <c r="C139" s="1" t="s">
        <v>29</v>
      </c>
      <c r="D139" s="1" t="e">
        <v>#DIV/0!</v>
      </c>
      <c r="E139" s="1"/>
      <c r="F139" s="1">
        <v>8.4336543578514807</v>
      </c>
      <c r="G139" s="219">
        <v>0</v>
      </c>
      <c r="H139" s="1">
        <v>1</v>
      </c>
      <c r="I139" s="1">
        <v>1</v>
      </c>
    </row>
    <row r="140" spans="1:9">
      <c r="A140" s="1">
        <v>1</v>
      </c>
      <c r="B140" s="1" t="s">
        <v>424</v>
      </c>
      <c r="C140" s="1" t="s">
        <v>29</v>
      </c>
      <c r="D140" s="1" t="s">
        <v>2242</v>
      </c>
      <c r="E140" s="1">
        <v>651.71</v>
      </c>
      <c r="F140" s="1">
        <v>12.269178848238486</v>
      </c>
      <c r="G140" s="219">
        <v>902464.17437142506</v>
      </c>
      <c r="H140" s="1">
        <v>1</v>
      </c>
      <c r="I140" s="1">
        <v>2</v>
      </c>
    </row>
    <row r="141" spans="1:9">
      <c r="A141" s="1">
        <v>1</v>
      </c>
      <c r="B141" s="1" t="s">
        <v>508</v>
      </c>
      <c r="C141" s="1" t="s">
        <v>29</v>
      </c>
      <c r="D141" s="1" t="s">
        <v>2177</v>
      </c>
      <c r="E141" s="1">
        <v>4898</v>
      </c>
      <c r="F141" s="1">
        <v>30.843021994351353</v>
      </c>
      <c r="G141" s="219">
        <v>848104.18359815318</v>
      </c>
      <c r="H141" s="1">
        <v>3</v>
      </c>
      <c r="I141" s="1">
        <v>3</v>
      </c>
    </row>
    <row r="142" spans="1:9">
      <c r="A142" s="1">
        <v>1</v>
      </c>
      <c r="B142" s="1" t="s">
        <v>75</v>
      </c>
      <c r="C142" s="1" t="s">
        <v>29</v>
      </c>
      <c r="D142" s="1" t="s">
        <v>2243</v>
      </c>
      <c r="E142" s="1">
        <v>651.71</v>
      </c>
      <c r="F142" s="1">
        <v>25.883989384056814</v>
      </c>
      <c r="G142" s="219">
        <v>10749947.24280297</v>
      </c>
      <c r="H142" s="1">
        <v>3</v>
      </c>
      <c r="I142" s="1">
        <v>1</v>
      </c>
    </row>
    <row r="143" spans="1:9">
      <c r="A143" s="1">
        <v>1</v>
      </c>
      <c r="B143" s="1" t="s">
        <v>85</v>
      </c>
      <c r="C143" s="1" t="s">
        <v>29</v>
      </c>
      <c r="D143" s="1" t="s">
        <v>2243</v>
      </c>
      <c r="E143" s="1">
        <v>651.71</v>
      </c>
      <c r="F143" s="1">
        <v>25.883989384056814</v>
      </c>
      <c r="G143" s="219">
        <v>10749947.24280297</v>
      </c>
      <c r="H143" s="1">
        <v>3</v>
      </c>
      <c r="I143" s="1">
        <v>1</v>
      </c>
    </row>
    <row r="144" spans="1:9">
      <c r="A144" s="1">
        <v>1</v>
      </c>
      <c r="B144" s="1" t="s">
        <v>86</v>
      </c>
      <c r="C144" s="1" t="s">
        <v>29</v>
      </c>
      <c r="D144" s="1" t="s">
        <v>2178</v>
      </c>
      <c r="E144" s="1">
        <v>5.29</v>
      </c>
      <c r="F144" s="1">
        <v>25.883989384056814</v>
      </c>
      <c r="G144" s="219">
        <v>0</v>
      </c>
      <c r="H144" s="1">
        <v>3</v>
      </c>
      <c r="I144" s="1">
        <v>1</v>
      </c>
    </row>
    <row r="145" spans="1:9">
      <c r="A145" s="1">
        <v>1</v>
      </c>
      <c r="B145" s="1" t="s">
        <v>50</v>
      </c>
      <c r="C145" s="1" t="s">
        <v>29</v>
      </c>
      <c r="D145" s="1" t="s">
        <v>2165</v>
      </c>
      <c r="E145" s="1">
        <v>5488</v>
      </c>
      <c r="F145" s="1">
        <v>1.812531981818182</v>
      </c>
      <c r="G145" s="219">
        <v>13161.002376043372</v>
      </c>
      <c r="H145" s="1">
        <v>3</v>
      </c>
      <c r="I145" s="1">
        <v>3</v>
      </c>
    </row>
    <row r="146" spans="1:9">
      <c r="A146" s="1">
        <v>0</v>
      </c>
      <c r="B146" s="1" t="s">
        <v>184</v>
      </c>
      <c r="C146" s="1" t="s">
        <v>29</v>
      </c>
      <c r="D146" s="1" t="e">
        <v>#DIV/0!</v>
      </c>
      <c r="E146" s="1"/>
      <c r="F146" s="1">
        <v>25.883989384056814</v>
      </c>
      <c r="G146" s="219">
        <v>0</v>
      </c>
      <c r="H146" s="1">
        <v>4</v>
      </c>
      <c r="I146" s="1">
        <v>1</v>
      </c>
    </row>
    <row r="147" spans="1:9">
      <c r="A147" s="1">
        <v>0</v>
      </c>
      <c r="B147" s="1" t="s">
        <v>260</v>
      </c>
      <c r="C147" s="1" t="s">
        <v>29</v>
      </c>
      <c r="D147" s="1" t="e">
        <v>#DIV/0!</v>
      </c>
      <c r="E147" s="1"/>
      <c r="F147" s="1">
        <v>25.883989384056814</v>
      </c>
      <c r="G147" s="219">
        <v>0</v>
      </c>
      <c r="H147" s="1">
        <v>4</v>
      </c>
      <c r="I147" s="1">
        <v>1</v>
      </c>
    </row>
    <row r="148" spans="1:9">
      <c r="A148" s="1">
        <v>1</v>
      </c>
      <c r="B148" s="1" t="s">
        <v>277</v>
      </c>
      <c r="C148" s="1" t="s">
        <v>29</v>
      </c>
      <c r="D148" s="1" t="s">
        <v>2244</v>
      </c>
      <c r="E148" s="1">
        <v>651.71</v>
      </c>
      <c r="F148" s="1">
        <v>25.883989384056814</v>
      </c>
      <c r="G148" s="219">
        <v>42999788.97121188</v>
      </c>
      <c r="H148" s="1">
        <v>2</v>
      </c>
      <c r="I148" s="1">
        <v>1</v>
      </c>
    </row>
    <row r="149" spans="1:9">
      <c r="A149" s="1">
        <v>1</v>
      </c>
      <c r="B149" s="1" t="s">
        <v>35</v>
      </c>
      <c r="C149" s="1" t="s">
        <v>29</v>
      </c>
      <c r="D149" s="1" t="s">
        <v>2245</v>
      </c>
      <c r="E149" s="1">
        <v>5968</v>
      </c>
      <c r="F149" s="1">
        <v>8.4336543578514807</v>
      </c>
      <c r="G149" s="219">
        <v>620340.69363045809</v>
      </c>
      <c r="H149" s="1">
        <v>1</v>
      </c>
      <c r="I149" s="1">
        <v>1</v>
      </c>
    </row>
    <row r="150" spans="1:9">
      <c r="A150" s="1">
        <v>0</v>
      </c>
      <c r="B150" s="1" t="s">
        <v>233</v>
      </c>
      <c r="C150" s="1" t="s">
        <v>29</v>
      </c>
      <c r="D150" s="1" t="e">
        <v>#DIV/0!</v>
      </c>
      <c r="E150" s="1"/>
      <c r="F150" s="1">
        <v>8.4336543578514807</v>
      </c>
      <c r="G150" s="219">
        <v>0</v>
      </c>
      <c r="H150" s="1">
        <v>1</v>
      </c>
      <c r="I150" s="1">
        <v>1</v>
      </c>
    </row>
    <row r="151" spans="1:9">
      <c r="A151" s="1">
        <v>1</v>
      </c>
      <c r="B151" s="1" t="s">
        <v>209</v>
      </c>
      <c r="C151" s="1" t="s">
        <v>29</v>
      </c>
      <c r="D151" s="1" t="s">
        <v>2246</v>
      </c>
      <c r="E151" s="1">
        <v>3062.86</v>
      </c>
      <c r="F151" s="1">
        <v>103.32796237007204</v>
      </c>
      <c r="G151" s="219">
        <v>11653473.258825311</v>
      </c>
      <c r="H151" s="1">
        <v>2</v>
      </c>
      <c r="I151" s="1">
        <v>2</v>
      </c>
    </row>
    <row r="152" spans="1:9">
      <c r="A152" s="1">
        <v>1</v>
      </c>
      <c r="B152" s="1" t="s">
        <v>525</v>
      </c>
      <c r="C152" s="1" t="s">
        <v>29</v>
      </c>
      <c r="D152" s="1" t="s">
        <v>2247</v>
      </c>
      <c r="E152" s="1">
        <v>651.71</v>
      </c>
      <c r="F152" s="1">
        <v>6.0787296594466893</v>
      </c>
      <c r="G152" s="219">
        <v>1883.472438780185</v>
      </c>
      <c r="H152" s="1">
        <v>2</v>
      </c>
      <c r="I152" s="1">
        <v>1</v>
      </c>
    </row>
    <row r="153" spans="1:9">
      <c r="A153" s="1">
        <v>1</v>
      </c>
      <c r="B153" s="1" t="s">
        <v>191</v>
      </c>
      <c r="C153" s="1" t="s">
        <v>29</v>
      </c>
      <c r="D153" s="1" t="s">
        <v>2248</v>
      </c>
      <c r="E153" s="1">
        <v>9</v>
      </c>
      <c r="F153" s="1">
        <v>408.77349507409724</v>
      </c>
      <c r="G153" s="219">
        <v>7597055.4059520978</v>
      </c>
      <c r="H153" s="1">
        <v>5</v>
      </c>
      <c r="I153" s="1">
        <v>1</v>
      </c>
    </row>
    <row r="154" spans="1:9">
      <c r="A154" s="1">
        <v>1</v>
      </c>
      <c r="B154" s="1" t="s">
        <v>48</v>
      </c>
      <c r="C154" s="1" t="s">
        <v>29</v>
      </c>
      <c r="D154" s="1" t="s">
        <v>2249</v>
      </c>
      <c r="E154" s="1">
        <v>72799</v>
      </c>
      <c r="F154" s="1">
        <v>1.7400448631631145</v>
      </c>
      <c r="G154" s="219">
        <v>25.794194927413155</v>
      </c>
      <c r="H154" s="1">
        <v>1</v>
      </c>
      <c r="I154" s="1">
        <v>1</v>
      </c>
    </row>
    <row r="155" spans="1:9">
      <c r="A155" s="1">
        <v>1</v>
      </c>
      <c r="B155" s="1" t="s">
        <v>170</v>
      </c>
      <c r="C155" s="1" t="s">
        <v>74</v>
      </c>
      <c r="D155" s="1" t="s">
        <v>2250</v>
      </c>
      <c r="E155" s="1">
        <v>651.42999999999995</v>
      </c>
      <c r="F155" s="1">
        <v>0.34883698653153372</v>
      </c>
      <c r="G155" s="219">
        <v>4551354.7120517958</v>
      </c>
      <c r="H155" s="1">
        <v>2</v>
      </c>
      <c r="I155" s="1">
        <v>2</v>
      </c>
    </row>
    <row r="156" spans="1:9">
      <c r="A156" s="1">
        <v>1</v>
      </c>
      <c r="B156" s="1" t="s">
        <v>262</v>
      </c>
      <c r="C156" s="1" t="s">
        <v>74</v>
      </c>
      <c r="D156" s="1" t="s">
        <v>2251</v>
      </c>
      <c r="E156" s="1">
        <v>330</v>
      </c>
      <c r="F156" s="1">
        <v>438.23271375781161</v>
      </c>
      <c r="G156" s="219">
        <v>8377256.5561943278</v>
      </c>
      <c r="H156" s="1">
        <v>4</v>
      </c>
      <c r="I156" s="1">
        <v>3</v>
      </c>
    </row>
    <row r="157" spans="1:9">
      <c r="A157" s="1">
        <v>1</v>
      </c>
      <c r="B157" s="1" t="s">
        <v>316</v>
      </c>
      <c r="C157" s="1" t="s">
        <v>74</v>
      </c>
      <c r="D157" s="1" t="s">
        <v>2252</v>
      </c>
      <c r="E157" s="1">
        <v>18</v>
      </c>
      <c r="F157" s="1">
        <v>1.8260389260717103</v>
      </c>
      <c r="G157" s="219">
        <v>1499.8983522045794</v>
      </c>
      <c r="H157" s="1">
        <v>1</v>
      </c>
      <c r="I157" s="1">
        <v>1</v>
      </c>
    </row>
    <row r="158" spans="1:9">
      <c r="A158" s="1">
        <v>1</v>
      </c>
      <c r="B158" s="1" t="s">
        <v>107</v>
      </c>
      <c r="C158" s="1" t="s">
        <v>20</v>
      </c>
      <c r="D158" s="1" t="s">
        <v>2253</v>
      </c>
      <c r="E158" s="1">
        <v>237</v>
      </c>
      <c r="F158" s="1">
        <v>128.95182751360016</v>
      </c>
      <c r="G158" s="219">
        <v>25763478.58782791</v>
      </c>
      <c r="H158" s="1">
        <v>6</v>
      </c>
      <c r="I158" s="1">
        <v>3</v>
      </c>
    </row>
    <row r="159" spans="1:9">
      <c r="A159" s="1">
        <v>0</v>
      </c>
      <c r="B159" s="1" t="s">
        <v>94</v>
      </c>
      <c r="C159" s="1" t="s">
        <v>20</v>
      </c>
      <c r="D159" s="1" t="e">
        <v>#DIV/0!</v>
      </c>
      <c r="E159" s="1"/>
      <c r="F159" s="1">
        <v>161.81859741800889</v>
      </c>
      <c r="G159" s="219">
        <v>0</v>
      </c>
      <c r="H159" s="1">
        <v>4</v>
      </c>
      <c r="I159" s="1">
        <v>1</v>
      </c>
    </row>
    <row r="160" spans="1:9">
      <c r="A160" s="1">
        <v>0</v>
      </c>
      <c r="B160" s="1" t="s">
        <v>286</v>
      </c>
      <c r="C160" s="1" t="s">
        <v>20</v>
      </c>
      <c r="D160" s="1" t="e">
        <v>#DIV/0!</v>
      </c>
      <c r="E160" s="1"/>
      <c r="F160" s="1">
        <v>161.81859741800889</v>
      </c>
      <c r="G160" s="219">
        <v>0</v>
      </c>
      <c r="H160" s="1">
        <v>5</v>
      </c>
      <c r="I160" s="1">
        <v>1</v>
      </c>
    </row>
    <row r="161" spans="1:9">
      <c r="A161" s="1">
        <v>1</v>
      </c>
      <c r="B161" s="1" t="s">
        <v>223</v>
      </c>
      <c r="C161" s="1" t="s">
        <v>20</v>
      </c>
      <c r="D161" s="1" t="s">
        <v>2254</v>
      </c>
      <c r="E161" s="1">
        <v>31.18</v>
      </c>
      <c r="F161" s="1">
        <v>321.09898107714696</v>
      </c>
      <c r="G161" s="219">
        <v>1815775.3274500908</v>
      </c>
      <c r="H161" s="1">
        <v>4</v>
      </c>
      <c r="I161" s="1">
        <v>1</v>
      </c>
    </row>
    <row r="162" spans="1:9">
      <c r="A162" s="1">
        <v>1</v>
      </c>
      <c r="B162" s="1" t="s">
        <v>225</v>
      </c>
      <c r="C162" s="1" t="s">
        <v>20</v>
      </c>
      <c r="D162" s="1" t="s">
        <v>2255</v>
      </c>
      <c r="E162" s="1">
        <v>10</v>
      </c>
      <c r="F162" s="1">
        <v>321.09898107714696</v>
      </c>
      <c r="G162" s="219">
        <v>6970140.9570183884</v>
      </c>
      <c r="H162" s="1">
        <v>4</v>
      </c>
      <c r="I162" s="1">
        <v>3</v>
      </c>
    </row>
    <row r="163" spans="1:9">
      <c r="A163" s="1">
        <v>1</v>
      </c>
      <c r="B163" s="1" t="s">
        <v>56</v>
      </c>
      <c r="C163" s="1" t="s">
        <v>20</v>
      </c>
      <c r="D163" s="1" t="s">
        <v>2124</v>
      </c>
      <c r="E163" s="1">
        <v>20.49</v>
      </c>
      <c r="F163" s="1">
        <v>321.09898107714696</v>
      </c>
      <c r="G163" s="219">
        <v>13208845.996087106</v>
      </c>
      <c r="H163" s="1">
        <v>3</v>
      </c>
      <c r="I163" s="1">
        <v>1</v>
      </c>
    </row>
    <row r="164" spans="1:9">
      <c r="A164" s="1">
        <v>1</v>
      </c>
      <c r="B164" s="1" t="s">
        <v>221</v>
      </c>
      <c r="C164" s="1" t="s">
        <v>20</v>
      </c>
      <c r="D164" s="1" t="s">
        <v>2256</v>
      </c>
      <c r="E164" s="1">
        <v>651.71</v>
      </c>
      <c r="F164" s="1">
        <v>321.09898107714696</v>
      </c>
      <c r="G164" s="219">
        <v>2897892.8185262033</v>
      </c>
      <c r="H164" s="1">
        <v>4</v>
      </c>
      <c r="I164" s="1">
        <v>3</v>
      </c>
    </row>
    <row r="165" spans="1:9">
      <c r="A165" s="1">
        <v>1</v>
      </c>
      <c r="B165" s="1" t="s">
        <v>227</v>
      </c>
      <c r="C165" s="1" t="s">
        <v>20</v>
      </c>
      <c r="D165" s="1" t="s">
        <v>2257</v>
      </c>
      <c r="E165" s="1">
        <v>442.86</v>
      </c>
      <c r="F165" s="1">
        <v>321.09898107714696</v>
      </c>
      <c r="G165" s="219">
        <v>1879626.289283253</v>
      </c>
      <c r="H165" s="1">
        <v>5</v>
      </c>
      <c r="I165" s="1">
        <v>1</v>
      </c>
    </row>
    <row r="166" spans="1:9">
      <c r="A166" s="1">
        <v>1</v>
      </c>
      <c r="B166" s="1" t="s">
        <v>132</v>
      </c>
      <c r="C166" s="1" t="s">
        <v>20</v>
      </c>
      <c r="D166" s="1" t="s">
        <v>2258</v>
      </c>
      <c r="E166" s="1">
        <v>124.38</v>
      </c>
      <c r="F166" s="1">
        <v>321.09898107714696</v>
      </c>
      <c r="G166" s="219">
        <v>9612269.3176042084</v>
      </c>
      <c r="H166" s="1">
        <v>4</v>
      </c>
      <c r="I166" s="1">
        <v>3</v>
      </c>
    </row>
    <row r="167" spans="1:9">
      <c r="A167" s="1">
        <v>1</v>
      </c>
      <c r="B167" s="1" t="s">
        <v>256</v>
      </c>
      <c r="C167" s="1" t="s">
        <v>20</v>
      </c>
      <c r="D167" s="1" t="s">
        <v>2179</v>
      </c>
      <c r="E167" s="1">
        <v>42.73</v>
      </c>
      <c r="F167" s="1">
        <v>321.09898107714696</v>
      </c>
      <c r="G167" s="219">
        <v>0</v>
      </c>
      <c r="H167" s="1">
        <v>3</v>
      </c>
      <c r="I167" s="1">
        <v>1</v>
      </c>
    </row>
    <row r="168" spans="1:9">
      <c r="A168" s="1">
        <v>1</v>
      </c>
      <c r="B168" s="1" t="s">
        <v>250</v>
      </c>
      <c r="C168" s="1" t="s">
        <v>20</v>
      </c>
      <c r="D168" s="1" t="s">
        <v>2259</v>
      </c>
      <c r="E168" s="1">
        <v>651.71</v>
      </c>
      <c r="F168" s="1">
        <v>2993.128262136081</v>
      </c>
      <c r="G168" s="219">
        <v>57216639.858993329</v>
      </c>
      <c r="H168" s="1">
        <v>4</v>
      </c>
      <c r="I168" s="1">
        <v>3</v>
      </c>
    </row>
    <row r="169" spans="1:9">
      <c r="A169" s="1">
        <v>1</v>
      </c>
      <c r="B169" s="1" t="s">
        <v>19</v>
      </c>
      <c r="C169" s="1" t="s">
        <v>20</v>
      </c>
      <c r="D169" s="1" t="s">
        <v>2265</v>
      </c>
      <c r="E169" s="1">
        <v>651.42999999999995</v>
      </c>
      <c r="F169" s="1">
        <v>1600</v>
      </c>
      <c r="G169" s="219">
        <v>126787349.38432001</v>
      </c>
      <c r="H169" s="1">
        <v>4</v>
      </c>
      <c r="I169" s="1">
        <v>1</v>
      </c>
    </row>
    <row r="170" spans="1:9">
      <c r="A170" s="1">
        <v>1</v>
      </c>
      <c r="B170" s="1" t="s">
        <v>232</v>
      </c>
      <c r="C170" s="1" t="s">
        <v>20</v>
      </c>
      <c r="D170" s="1" t="s">
        <v>2260</v>
      </c>
      <c r="E170" s="1">
        <v>630.6</v>
      </c>
      <c r="F170" s="1">
        <v>20.112411472533328</v>
      </c>
      <c r="G170" s="219">
        <v>3589780.1475000456</v>
      </c>
      <c r="H170" s="1">
        <v>1</v>
      </c>
      <c r="I170" s="1">
        <v>1</v>
      </c>
    </row>
    <row r="171" spans="1:9">
      <c r="A171" s="1">
        <v>0</v>
      </c>
      <c r="B171" s="1" t="s">
        <v>190</v>
      </c>
      <c r="C171" s="1" t="s">
        <v>20</v>
      </c>
      <c r="D171" s="1" t="s">
        <v>2180</v>
      </c>
      <c r="E171" s="1">
        <v>530</v>
      </c>
      <c r="F171" s="1">
        <v>0</v>
      </c>
      <c r="G171" s="219">
        <v>0</v>
      </c>
      <c r="H171" s="1"/>
      <c r="I171" s="1">
        <v>1</v>
      </c>
    </row>
    <row r="172" spans="1:9">
      <c r="A172" s="1">
        <v>1</v>
      </c>
      <c r="B172" s="1" t="s">
        <v>609</v>
      </c>
      <c r="C172" s="1" t="s">
        <v>20</v>
      </c>
      <c r="D172" s="1" t="s">
        <v>2181</v>
      </c>
      <c r="E172" s="1">
        <v>230</v>
      </c>
      <c r="F172" s="1">
        <v>208.48048373771081</v>
      </c>
      <c r="G172" s="219">
        <v>666875.82773159549</v>
      </c>
      <c r="H172" s="1">
        <v>4</v>
      </c>
      <c r="I172" s="1">
        <v>1</v>
      </c>
    </row>
    <row r="173" spans="1:9">
      <c r="A173" s="1">
        <v>1</v>
      </c>
      <c r="B173" s="1" t="s">
        <v>612</v>
      </c>
      <c r="C173" s="1" t="s">
        <v>20</v>
      </c>
      <c r="D173" s="1" t="s">
        <v>2208</v>
      </c>
      <c r="E173" s="1">
        <v>427</v>
      </c>
      <c r="F173" s="1">
        <v>1105.3961067142179</v>
      </c>
      <c r="G173" s="219">
        <v>15650326.447753238</v>
      </c>
      <c r="H173" s="1">
        <v>5</v>
      </c>
      <c r="I173" s="1">
        <v>1</v>
      </c>
    </row>
    <row r="174" spans="1:9">
      <c r="A174" s="1">
        <v>1</v>
      </c>
      <c r="B174" s="1" t="s">
        <v>279</v>
      </c>
      <c r="C174" s="1" t="s">
        <v>20</v>
      </c>
      <c r="D174" s="1" t="s">
        <v>2261</v>
      </c>
      <c r="E174" s="1">
        <v>1539</v>
      </c>
      <c r="F174" s="1">
        <v>3949.4554258244957</v>
      </c>
      <c r="G174" s="219">
        <v>0</v>
      </c>
      <c r="H174" s="1">
        <v>5</v>
      </c>
      <c r="I174" s="1">
        <v>3</v>
      </c>
    </row>
    <row r="175" spans="1:9">
      <c r="A175" s="1">
        <v>0</v>
      </c>
      <c r="B175" s="1"/>
      <c r="C175" s="1"/>
      <c r="D175" s="1" t="e">
        <v>#DIV/0!</v>
      </c>
      <c r="E175" s="1"/>
      <c r="F175" s="1">
        <v>0</v>
      </c>
      <c r="G175" s="219">
        <v>77226.45757190336</v>
      </c>
      <c r="H175" s="1"/>
      <c r="I175" s="1"/>
    </row>
    <row r="176" spans="1:9">
      <c r="A176" s="1">
        <v>0</v>
      </c>
      <c r="B176" s="1"/>
      <c r="C176" s="1"/>
      <c r="D176" s="1" t="e">
        <v>#DIV/0!</v>
      </c>
      <c r="E176" s="1"/>
      <c r="F176" s="1">
        <v>0</v>
      </c>
      <c r="G176" s="219">
        <v>402594633.77958572</v>
      </c>
      <c r="H176" s="1"/>
      <c r="I176" s="1"/>
    </row>
    <row r="177" spans="1:9">
      <c r="A177" s="1">
        <v>0</v>
      </c>
      <c r="B177" s="1"/>
      <c r="C177" s="1"/>
      <c r="D177" s="1" t="e">
        <v>#DIV/0!</v>
      </c>
      <c r="E177" s="1"/>
      <c r="F177" s="1">
        <v>0</v>
      </c>
      <c r="G177" s="219">
        <v>0</v>
      </c>
      <c r="H177" s="1"/>
      <c r="I177" s="1"/>
    </row>
    <row r="178" spans="1:9">
      <c r="A178" s="1">
        <v>0</v>
      </c>
      <c r="B178" s="1"/>
      <c r="C178" s="1"/>
      <c r="D178" s="1" t="e">
        <v>#DIV/0!</v>
      </c>
      <c r="E178" s="1"/>
      <c r="F178" s="1">
        <v>0</v>
      </c>
      <c r="G178" s="219">
        <v>0</v>
      </c>
      <c r="H178" s="1"/>
      <c r="I178" s="1"/>
    </row>
    <row r="179" spans="1:9">
      <c r="A179" s="1">
        <v>0</v>
      </c>
      <c r="B179" s="1"/>
      <c r="C179" s="1"/>
      <c r="D179" s="1"/>
      <c r="E179" s="1"/>
      <c r="F179" s="1">
        <v>0</v>
      </c>
      <c r="G179" s="219">
        <v>0</v>
      </c>
      <c r="H179" s="1"/>
      <c r="I179" s="1"/>
    </row>
  </sheetData>
  <autoFilter ref="A1:I179" xr:uid="{FDF28990-7B3D-3D43-ADC9-5464324E1CA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C6253-440D-5241-9572-BE54B314FAB7}">
  <dimension ref="A1:I449"/>
  <sheetViews>
    <sheetView topLeftCell="A196" workbookViewId="0">
      <selection activeCell="E293" sqref="E272:E293"/>
    </sheetView>
  </sheetViews>
  <sheetFormatPr defaultColWidth="11.5546875" defaultRowHeight="14.4"/>
  <cols>
    <col min="1" max="3" width="10.77734375" style="1"/>
    <col min="4" max="4" width="41.109375" style="1" bestFit="1" customWidth="1"/>
    <col min="5" max="5" width="11.109375" style="1" bestFit="1" customWidth="1"/>
    <col min="6" max="6" width="5.109375" style="1" bestFit="1" customWidth="1"/>
    <col min="7" max="7" width="11.109375" style="128" bestFit="1" customWidth="1"/>
    <col min="8" max="9" width="12.109375" bestFit="1" customWidth="1"/>
  </cols>
  <sheetData>
    <row r="1" spans="1:9">
      <c r="A1" s="1" t="s">
        <v>1963</v>
      </c>
      <c r="B1" s="1" t="s">
        <v>1964</v>
      </c>
      <c r="C1" s="1" t="s">
        <v>1965</v>
      </c>
      <c r="D1" s="1" t="s">
        <v>1966</v>
      </c>
      <c r="E1" s="1" t="s">
        <v>1967</v>
      </c>
      <c r="F1" s="1" t="s">
        <v>1471</v>
      </c>
      <c r="G1" s="128" t="s">
        <v>1968</v>
      </c>
      <c r="H1" s="1"/>
      <c r="I1" s="1"/>
    </row>
    <row r="2" spans="1:9">
      <c r="A2" s="1" t="s">
        <v>1472</v>
      </c>
      <c r="B2" s="1" t="s">
        <v>1473</v>
      </c>
      <c r="C2" s="1">
        <v>22</v>
      </c>
      <c r="D2" s="1" t="s">
        <v>320</v>
      </c>
      <c r="E2" s="1" t="s">
        <v>1474</v>
      </c>
      <c r="F2" s="1">
        <v>2017</v>
      </c>
      <c r="G2" s="128">
        <v>7788811.3970100004</v>
      </c>
      <c r="H2" s="1"/>
      <c r="I2" s="1"/>
    </row>
    <row r="3" spans="1:9">
      <c r="A3" s="1" t="s">
        <v>1472</v>
      </c>
      <c r="B3" s="1" t="s">
        <v>1473</v>
      </c>
      <c r="C3" s="1">
        <v>22</v>
      </c>
      <c r="D3" s="1" t="s">
        <v>310</v>
      </c>
      <c r="E3" s="1" t="s">
        <v>1474</v>
      </c>
      <c r="F3" s="1">
        <v>2017</v>
      </c>
      <c r="G3" s="128">
        <v>530203.22046900005</v>
      </c>
      <c r="H3" s="1"/>
      <c r="I3" s="1"/>
    </row>
    <row r="4" spans="1:9">
      <c r="A4" s="1" t="s">
        <v>1472</v>
      </c>
      <c r="B4" s="1" t="s">
        <v>1473</v>
      </c>
      <c r="C4" s="1">
        <v>22</v>
      </c>
      <c r="D4" s="1" t="s">
        <v>347</v>
      </c>
      <c r="E4" s="1" t="s">
        <v>1474</v>
      </c>
      <c r="F4" s="1">
        <v>2017</v>
      </c>
      <c r="G4" s="128">
        <v>554960.52541999996</v>
      </c>
      <c r="H4" s="1"/>
      <c r="I4" s="1"/>
    </row>
    <row r="5" spans="1:9">
      <c r="A5" s="1" t="s">
        <v>1472</v>
      </c>
      <c r="B5" s="1" t="s">
        <v>1473</v>
      </c>
      <c r="C5" s="1">
        <v>22</v>
      </c>
      <c r="D5" s="1" t="s">
        <v>1476</v>
      </c>
      <c r="E5" s="1" t="s">
        <v>1474</v>
      </c>
      <c r="F5" s="1">
        <v>2017</v>
      </c>
      <c r="G5" s="128">
        <v>848.85676456099998</v>
      </c>
      <c r="H5" s="1"/>
      <c r="I5" s="1"/>
    </row>
    <row r="6" spans="1:9">
      <c r="A6" s="1" t="s">
        <v>1472</v>
      </c>
      <c r="B6" s="1" t="s">
        <v>1473</v>
      </c>
      <c r="C6" s="1">
        <v>22</v>
      </c>
      <c r="D6" s="1" t="s">
        <v>1477</v>
      </c>
      <c r="E6" s="1" t="s">
        <v>1474</v>
      </c>
      <c r="F6" s="1">
        <v>2017</v>
      </c>
      <c r="G6" s="128">
        <v>71.847922096900007</v>
      </c>
      <c r="H6" s="1"/>
      <c r="I6" s="1"/>
    </row>
    <row r="7" spans="1:9">
      <c r="A7" s="1" t="s">
        <v>1472</v>
      </c>
      <c r="B7" s="1" t="s">
        <v>1473</v>
      </c>
      <c r="C7" s="1">
        <v>22</v>
      </c>
      <c r="D7" s="1" t="s">
        <v>1478</v>
      </c>
      <c r="E7" s="1" t="s">
        <v>1474</v>
      </c>
      <c r="F7" s="1">
        <v>2017</v>
      </c>
      <c r="G7" s="128">
        <v>317.24721744499999</v>
      </c>
      <c r="H7" s="1"/>
      <c r="I7" s="1"/>
    </row>
    <row r="8" spans="1:9">
      <c r="A8" s="1" t="s">
        <v>1472</v>
      </c>
      <c r="B8" s="1" t="s">
        <v>1473</v>
      </c>
      <c r="C8" s="1">
        <v>22</v>
      </c>
      <c r="D8" s="1" t="s">
        <v>1479</v>
      </c>
      <c r="E8" s="1" t="s">
        <v>1474</v>
      </c>
      <c r="F8" s="1">
        <v>2017</v>
      </c>
      <c r="G8" s="128">
        <v>3042.6475270300002</v>
      </c>
      <c r="H8" s="1"/>
      <c r="I8" s="1"/>
    </row>
    <row r="9" spans="1:9">
      <c r="A9" s="1" t="s">
        <v>1472</v>
      </c>
      <c r="B9" s="1" t="s">
        <v>1473</v>
      </c>
      <c r="C9" s="1">
        <v>22</v>
      </c>
      <c r="D9" s="1" t="s">
        <v>1480</v>
      </c>
      <c r="E9" s="1" t="s">
        <v>1474</v>
      </c>
      <c r="F9" s="1">
        <v>2017</v>
      </c>
      <c r="G9" s="128">
        <v>229.727648007</v>
      </c>
      <c r="H9" s="1"/>
      <c r="I9" s="1"/>
    </row>
    <row r="10" spans="1:9">
      <c r="A10" s="1" t="s">
        <v>1472</v>
      </c>
      <c r="B10" s="1" t="s">
        <v>1473</v>
      </c>
      <c r="C10" s="1">
        <v>22</v>
      </c>
      <c r="D10" s="1" t="s">
        <v>1481</v>
      </c>
      <c r="E10" s="1" t="s">
        <v>1474</v>
      </c>
      <c r="F10" s="1">
        <v>2017</v>
      </c>
      <c r="G10" s="128">
        <v>1480.70594471</v>
      </c>
      <c r="H10" s="1"/>
      <c r="I10" s="1"/>
    </row>
    <row r="11" spans="1:9">
      <c r="A11" s="1" t="s">
        <v>1472</v>
      </c>
      <c r="B11" s="1" t="s">
        <v>1473</v>
      </c>
      <c r="C11" s="1">
        <v>22</v>
      </c>
      <c r="D11" s="1" t="s">
        <v>1482</v>
      </c>
      <c r="E11" s="1" t="s">
        <v>1474</v>
      </c>
      <c r="F11" s="1">
        <v>2017</v>
      </c>
      <c r="G11" s="128">
        <v>2636.6878353299999</v>
      </c>
      <c r="H11" s="1"/>
      <c r="I11" s="1"/>
    </row>
    <row r="12" spans="1:9">
      <c r="A12" s="1" t="s">
        <v>1472</v>
      </c>
      <c r="B12" s="1" t="s">
        <v>1473</v>
      </c>
      <c r="C12" s="1">
        <v>22</v>
      </c>
      <c r="D12" s="1" t="s">
        <v>1483</v>
      </c>
      <c r="E12" s="1" t="s">
        <v>1474</v>
      </c>
      <c r="F12" s="1">
        <v>2017</v>
      </c>
      <c r="G12" s="128">
        <v>8815.6978709899995</v>
      </c>
      <c r="H12" s="1"/>
      <c r="I12" s="1"/>
    </row>
    <row r="13" spans="1:9">
      <c r="A13" s="1" t="s">
        <v>1472</v>
      </c>
      <c r="B13" s="1" t="s">
        <v>1473</v>
      </c>
      <c r="C13" s="1">
        <v>22</v>
      </c>
      <c r="D13" s="1" t="s">
        <v>1627</v>
      </c>
      <c r="E13" s="1" t="s">
        <v>1474</v>
      </c>
      <c r="F13" s="1">
        <v>2017</v>
      </c>
      <c r="G13" s="128">
        <v>596.06272733599997</v>
      </c>
      <c r="H13" s="1"/>
      <c r="I13" s="1"/>
    </row>
    <row r="14" spans="1:9">
      <c r="A14" s="1" t="s">
        <v>1472</v>
      </c>
      <c r="B14" s="1" t="s">
        <v>1473</v>
      </c>
      <c r="C14" s="1">
        <v>22</v>
      </c>
      <c r="D14" s="1" t="s">
        <v>1628</v>
      </c>
      <c r="E14" s="1" t="s">
        <v>1474</v>
      </c>
      <c r="F14" s="1">
        <v>2017</v>
      </c>
      <c r="G14" s="128">
        <v>624.00779202199999</v>
      </c>
      <c r="H14" s="1"/>
      <c r="I14" s="1"/>
    </row>
    <row r="15" spans="1:9">
      <c r="A15" s="1" t="s">
        <v>1472</v>
      </c>
      <c r="B15" s="1" t="s">
        <v>1473</v>
      </c>
      <c r="C15" s="1">
        <v>22</v>
      </c>
      <c r="D15" s="1" t="s">
        <v>611</v>
      </c>
      <c r="E15" s="1" t="s">
        <v>1474</v>
      </c>
      <c r="F15" s="1">
        <v>2017</v>
      </c>
      <c r="G15" s="128">
        <v>12190.0060644</v>
      </c>
      <c r="H15" s="1"/>
      <c r="I15" s="1"/>
    </row>
    <row r="16" spans="1:9">
      <c r="A16" s="1" t="s">
        <v>1472</v>
      </c>
      <c r="B16" s="1" t="s">
        <v>1473</v>
      </c>
      <c r="C16" s="1">
        <v>22</v>
      </c>
      <c r="D16" s="1" t="s">
        <v>400</v>
      </c>
      <c r="E16" s="1" t="s">
        <v>1474</v>
      </c>
      <c r="F16" s="1">
        <v>2017</v>
      </c>
      <c r="G16" s="128">
        <v>6161.5403906000001</v>
      </c>
      <c r="H16" s="1"/>
      <c r="I16" s="1"/>
    </row>
    <row r="17" spans="1:9">
      <c r="A17" s="1" t="s">
        <v>1472</v>
      </c>
      <c r="B17" s="1" t="s">
        <v>1473</v>
      </c>
      <c r="C17" s="1">
        <v>22</v>
      </c>
      <c r="D17" s="1" t="s">
        <v>1629</v>
      </c>
      <c r="E17" s="1" t="s">
        <v>1474</v>
      </c>
      <c r="F17" s="1">
        <v>2017</v>
      </c>
      <c r="G17" s="128">
        <v>953.77538857000002</v>
      </c>
      <c r="H17" s="1"/>
      <c r="I17" s="1"/>
    </row>
    <row r="18" spans="1:9">
      <c r="A18" s="1" t="s">
        <v>1472</v>
      </c>
      <c r="B18" s="1" t="s">
        <v>1473</v>
      </c>
      <c r="C18" s="1">
        <v>22</v>
      </c>
      <c r="D18" s="1" t="s">
        <v>1630</v>
      </c>
      <c r="E18" s="1" t="s">
        <v>1474</v>
      </c>
      <c r="F18" s="1">
        <v>2017</v>
      </c>
      <c r="G18" s="128">
        <v>8849.3564900599995</v>
      </c>
      <c r="H18" s="1"/>
      <c r="I18" s="1"/>
    </row>
    <row r="19" spans="1:9">
      <c r="A19" s="1" t="s">
        <v>1472</v>
      </c>
      <c r="B19" s="1" t="s">
        <v>1473</v>
      </c>
      <c r="C19" s="1">
        <v>22</v>
      </c>
      <c r="D19" s="1" t="s">
        <v>614</v>
      </c>
      <c r="E19" s="1" t="s">
        <v>1474</v>
      </c>
      <c r="F19" s="1">
        <v>2017</v>
      </c>
      <c r="G19" s="128">
        <v>1773.7102306899999</v>
      </c>
      <c r="H19" s="1"/>
      <c r="I19" s="1"/>
    </row>
    <row r="20" spans="1:9">
      <c r="A20" s="1" t="s">
        <v>1472</v>
      </c>
      <c r="B20" s="1" t="s">
        <v>1473</v>
      </c>
      <c r="C20" s="1">
        <v>22</v>
      </c>
      <c r="D20" s="1" t="s">
        <v>1631</v>
      </c>
      <c r="E20" s="1" t="s">
        <v>1474</v>
      </c>
      <c r="F20" s="1">
        <v>2017</v>
      </c>
      <c r="G20" s="128">
        <v>1039.05607644</v>
      </c>
      <c r="H20" s="1"/>
      <c r="I20" s="1"/>
    </row>
    <row r="21" spans="1:9">
      <c r="A21" s="1" t="s">
        <v>1472</v>
      </c>
      <c r="B21" s="1" t="s">
        <v>1473</v>
      </c>
      <c r="C21" s="1">
        <v>22</v>
      </c>
      <c r="D21" s="1" t="s">
        <v>1632</v>
      </c>
      <c r="E21" s="1" t="s">
        <v>1474</v>
      </c>
      <c r="F21" s="1">
        <v>2017</v>
      </c>
      <c r="G21" s="128">
        <v>521.03031854699998</v>
      </c>
      <c r="H21" s="1"/>
      <c r="I21" s="1"/>
    </row>
    <row r="22" spans="1:9">
      <c r="A22" s="1" t="s">
        <v>1472</v>
      </c>
      <c r="B22" s="1" t="s">
        <v>1473</v>
      </c>
      <c r="C22" s="1">
        <v>22</v>
      </c>
      <c r="D22" s="1" t="s">
        <v>1633</v>
      </c>
      <c r="E22" s="1" t="s">
        <v>1474</v>
      </c>
      <c r="F22" s="1">
        <v>2017</v>
      </c>
      <c r="G22" s="128">
        <v>180.652414806</v>
      </c>
      <c r="H22" s="1"/>
      <c r="I22" s="1"/>
    </row>
    <row r="23" spans="1:9">
      <c r="A23" s="1" t="s">
        <v>1472</v>
      </c>
      <c r="B23" s="1" t="s">
        <v>1473</v>
      </c>
      <c r="C23" s="1">
        <v>22</v>
      </c>
      <c r="D23" s="1" t="s">
        <v>1634</v>
      </c>
      <c r="E23" s="1" t="s">
        <v>1474</v>
      </c>
      <c r="F23" s="1">
        <v>2017</v>
      </c>
      <c r="G23" s="128">
        <v>86.523831494000007</v>
      </c>
      <c r="H23" s="1"/>
      <c r="I23" s="1"/>
    </row>
    <row r="24" spans="1:9">
      <c r="A24" s="1" t="s">
        <v>1472</v>
      </c>
      <c r="B24" s="1" t="s">
        <v>1473</v>
      </c>
      <c r="C24" s="1">
        <v>22</v>
      </c>
      <c r="D24" s="1" t="s">
        <v>1635</v>
      </c>
      <c r="E24" s="1" t="s">
        <v>1474</v>
      </c>
      <c r="F24" s="1">
        <v>2017</v>
      </c>
      <c r="G24" s="128">
        <v>185.82303721599999</v>
      </c>
      <c r="H24" s="1"/>
      <c r="I24" s="1"/>
    </row>
    <row r="25" spans="1:9">
      <c r="A25" s="1" t="s">
        <v>1472</v>
      </c>
      <c r="B25" s="1" t="s">
        <v>1473</v>
      </c>
      <c r="C25" s="1">
        <v>22</v>
      </c>
      <c r="D25" s="1" t="s">
        <v>1636</v>
      </c>
      <c r="E25" s="1" t="s">
        <v>1474</v>
      </c>
      <c r="F25" s="1">
        <v>2017</v>
      </c>
      <c r="G25" s="128">
        <v>270.59017477100002</v>
      </c>
      <c r="H25" s="1"/>
      <c r="I25" s="1"/>
    </row>
    <row r="26" spans="1:9">
      <c r="A26" s="1" t="s">
        <v>1472</v>
      </c>
      <c r="B26" s="1" t="s">
        <v>1473</v>
      </c>
      <c r="C26" s="1">
        <v>22</v>
      </c>
      <c r="D26" s="1" t="s">
        <v>1637</v>
      </c>
      <c r="E26" s="1" t="s">
        <v>1474</v>
      </c>
      <c r="F26" s="1">
        <v>2017</v>
      </c>
      <c r="G26" s="128">
        <v>4.67564510722E-2</v>
      </c>
      <c r="H26" s="1"/>
      <c r="I26" s="1"/>
    </row>
    <row r="27" spans="1:9">
      <c r="A27" s="1" t="s">
        <v>1472</v>
      </c>
      <c r="B27" s="1" t="s">
        <v>1473</v>
      </c>
      <c r="C27" s="1">
        <v>22</v>
      </c>
      <c r="D27" s="1" t="s">
        <v>1638</v>
      </c>
      <c r="E27" s="1" t="s">
        <v>1474</v>
      </c>
      <c r="F27" s="1">
        <v>2017</v>
      </c>
      <c r="G27" s="128">
        <v>1546.8823197700001</v>
      </c>
      <c r="H27" s="1"/>
      <c r="I27" s="1"/>
    </row>
    <row r="28" spans="1:9">
      <c r="A28" s="1" t="s">
        <v>1472</v>
      </c>
      <c r="B28" s="1" t="s">
        <v>1473</v>
      </c>
      <c r="C28" s="1">
        <v>22</v>
      </c>
      <c r="D28" s="1" t="s">
        <v>1639</v>
      </c>
      <c r="E28" s="1" t="s">
        <v>1474</v>
      </c>
      <c r="F28" s="1">
        <v>2017</v>
      </c>
      <c r="G28" s="128">
        <v>132.65864942499999</v>
      </c>
      <c r="H28" s="1"/>
      <c r="I28" s="1"/>
    </row>
    <row r="29" spans="1:9">
      <c r="A29" s="1" t="s">
        <v>1472</v>
      </c>
      <c r="B29" s="1" t="s">
        <v>1473</v>
      </c>
      <c r="C29" s="1">
        <v>22</v>
      </c>
      <c r="D29" s="1" t="s">
        <v>1640</v>
      </c>
      <c r="E29" s="1" t="s">
        <v>1474</v>
      </c>
      <c r="F29" s="1">
        <v>2017</v>
      </c>
      <c r="G29" s="128">
        <v>2067.8081914899999</v>
      </c>
      <c r="H29" s="1"/>
      <c r="I29" s="1"/>
    </row>
    <row r="30" spans="1:9">
      <c r="A30" s="1" t="s">
        <v>1472</v>
      </c>
      <c r="B30" s="1" t="s">
        <v>1473</v>
      </c>
      <c r="C30" s="1">
        <v>22</v>
      </c>
      <c r="D30" s="1" t="s">
        <v>1641</v>
      </c>
      <c r="E30" s="1" t="s">
        <v>1474</v>
      </c>
      <c r="F30" s="1">
        <v>2017</v>
      </c>
      <c r="G30" s="128">
        <v>1528.4363487400001</v>
      </c>
      <c r="H30" s="1"/>
      <c r="I30" s="1"/>
    </row>
    <row r="31" spans="1:9">
      <c r="A31" s="1" t="s">
        <v>1472</v>
      </c>
      <c r="B31" s="1" t="s">
        <v>1473</v>
      </c>
      <c r="C31" s="1">
        <v>22</v>
      </c>
      <c r="D31" s="1" t="s">
        <v>1642</v>
      </c>
      <c r="E31" s="1" t="s">
        <v>1474</v>
      </c>
      <c r="F31" s="1">
        <v>2017</v>
      </c>
      <c r="G31" s="128">
        <v>573.30033750400003</v>
      </c>
      <c r="H31" s="1"/>
      <c r="I31" s="1"/>
    </row>
    <row r="32" spans="1:9">
      <c r="A32" s="1" t="s">
        <v>1472</v>
      </c>
      <c r="B32" s="1" t="s">
        <v>1473</v>
      </c>
      <c r="C32" s="1">
        <v>22</v>
      </c>
      <c r="D32" s="1" t="s">
        <v>1645</v>
      </c>
      <c r="E32" s="1" t="s">
        <v>1474</v>
      </c>
      <c r="F32" s="1">
        <v>2017</v>
      </c>
      <c r="G32" s="128">
        <v>9483937.3565999996</v>
      </c>
      <c r="H32" s="1"/>
      <c r="I32" s="1"/>
    </row>
    <row r="33" spans="1:9">
      <c r="A33" s="1" t="s">
        <v>1472</v>
      </c>
      <c r="B33" s="1" t="s">
        <v>1473</v>
      </c>
      <c r="C33" s="1">
        <v>22</v>
      </c>
      <c r="D33" s="1" t="s">
        <v>504</v>
      </c>
      <c r="E33" s="1" t="s">
        <v>1474</v>
      </c>
      <c r="F33" s="1">
        <v>2017</v>
      </c>
      <c r="G33" s="128">
        <v>202217.44639200001</v>
      </c>
      <c r="H33" s="1"/>
      <c r="I33" s="1"/>
    </row>
    <row r="34" spans="1:9">
      <c r="A34" s="1" t="s">
        <v>1472</v>
      </c>
      <c r="B34" s="1" t="s">
        <v>1473</v>
      </c>
      <c r="C34" s="1">
        <v>22</v>
      </c>
      <c r="D34" s="1" t="s">
        <v>480</v>
      </c>
      <c r="E34" s="1" t="s">
        <v>1474</v>
      </c>
      <c r="F34" s="1">
        <v>2017</v>
      </c>
      <c r="G34" s="128">
        <v>169976.50188600001</v>
      </c>
      <c r="H34" s="1"/>
      <c r="I34" s="1"/>
    </row>
    <row r="35" spans="1:9">
      <c r="A35" s="1" t="s">
        <v>1472</v>
      </c>
      <c r="B35" s="1" t="s">
        <v>1473</v>
      </c>
      <c r="C35" s="1">
        <v>22</v>
      </c>
      <c r="D35" s="1" t="s">
        <v>1484</v>
      </c>
      <c r="E35" s="1" t="s">
        <v>1474</v>
      </c>
      <c r="F35" s="1">
        <v>2017</v>
      </c>
      <c r="G35" s="128">
        <v>140939.42344499999</v>
      </c>
      <c r="H35" s="1"/>
      <c r="I35" s="1"/>
    </row>
    <row r="36" spans="1:9">
      <c r="A36" s="1" t="s">
        <v>1472</v>
      </c>
      <c r="B36" s="1" t="s">
        <v>1473</v>
      </c>
      <c r="C36" s="1">
        <v>22</v>
      </c>
      <c r="D36" s="1" t="s">
        <v>1488</v>
      </c>
      <c r="E36" s="1" t="s">
        <v>1474</v>
      </c>
      <c r="F36" s="1">
        <v>2017</v>
      </c>
      <c r="G36" s="128">
        <v>19591.9003706</v>
      </c>
      <c r="H36" s="1"/>
      <c r="I36" s="1"/>
    </row>
    <row r="37" spans="1:9">
      <c r="A37" s="1" t="s">
        <v>1472</v>
      </c>
      <c r="B37" s="1" t="s">
        <v>1473</v>
      </c>
      <c r="C37" s="1">
        <v>22</v>
      </c>
      <c r="D37" s="1" t="s">
        <v>522</v>
      </c>
      <c r="E37" s="1" t="s">
        <v>1474</v>
      </c>
      <c r="F37" s="1">
        <v>2017</v>
      </c>
      <c r="G37" s="128">
        <v>10102.5346529</v>
      </c>
      <c r="H37" s="1"/>
      <c r="I37" s="1"/>
    </row>
    <row r="38" spans="1:9">
      <c r="A38" s="1" t="s">
        <v>1472</v>
      </c>
      <c r="B38" s="1" t="s">
        <v>1473</v>
      </c>
      <c r="C38" s="1">
        <v>22</v>
      </c>
      <c r="D38" s="1" t="s">
        <v>1489</v>
      </c>
      <c r="E38" s="1" t="s">
        <v>1474</v>
      </c>
      <c r="F38" s="1">
        <v>2017</v>
      </c>
      <c r="G38" s="128">
        <v>30120.005928400002</v>
      </c>
      <c r="H38" s="1"/>
      <c r="I38" s="1"/>
    </row>
    <row r="39" spans="1:9">
      <c r="A39" s="1" t="s">
        <v>1472</v>
      </c>
      <c r="B39" s="1" t="s">
        <v>1473</v>
      </c>
      <c r="C39" s="1">
        <v>22</v>
      </c>
      <c r="D39" s="1" t="s">
        <v>568</v>
      </c>
      <c r="E39" s="1" t="s">
        <v>1474</v>
      </c>
      <c r="F39" s="1">
        <v>2017</v>
      </c>
      <c r="G39" s="128">
        <v>139257.996556</v>
      </c>
      <c r="H39" s="1"/>
      <c r="I39" s="1"/>
    </row>
    <row r="40" spans="1:9">
      <c r="A40" s="1" t="s">
        <v>1472</v>
      </c>
      <c r="B40" s="1" t="s">
        <v>1473</v>
      </c>
      <c r="C40" s="1">
        <v>22</v>
      </c>
      <c r="D40" s="1" t="s">
        <v>1490</v>
      </c>
      <c r="E40" s="1" t="s">
        <v>1474</v>
      </c>
      <c r="F40" s="1">
        <v>2017</v>
      </c>
      <c r="G40" s="128">
        <v>1057.8992057</v>
      </c>
      <c r="H40" s="1"/>
      <c r="I40" s="1"/>
    </row>
    <row r="41" spans="1:9">
      <c r="A41" s="1" t="s">
        <v>1472</v>
      </c>
      <c r="B41" s="1" t="s">
        <v>1473</v>
      </c>
      <c r="C41" s="1">
        <v>22</v>
      </c>
      <c r="D41" s="1" t="s">
        <v>1491</v>
      </c>
      <c r="E41" s="1" t="s">
        <v>1474</v>
      </c>
      <c r="F41" s="1">
        <v>2017</v>
      </c>
      <c r="G41" s="128">
        <v>20932.671348299998</v>
      </c>
      <c r="H41" s="1"/>
      <c r="I41" s="1"/>
    </row>
    <row r="42" spans="1:9">
      <c r="A42" s="1" t="s">
        <v>1472</v>
      </c>
      <c r="B42" s="1" t="s">
        <v>1473</v>
      </c>
      <c r="C42" s="1">
        <v>22</v>
      </c>
      <c r="D42" s="1" t="s">
        <v>1492</v>
      </c>
      <c r="E42" s="1" t="s">
        <v>1474</v>
      </c>
      <c r="F42" s="1">
        <v>2017</v>
      </c>
      <c r="G42" s="128">
        <v>124217.511449</v>
      </c>
      <c r="H42" s="1"/>
      <c r="I42" s="1"/>
    </row>
    <row r="43" spans="1:9">
      <c r="A43" s="1" t="s">
        <v>1472</v>
      </c>
      <c r="B43" s="1" t="s">
        <v>1473</v>
      </c>
      <c r="C43" s="1">
        <v>22</v>
      </c>
      <c r="D43" s="1" t="s">
        <v>570</v>
      </c>
      <c r="E43" s="1" t="s">
        <v>1474</v>
      </c>
      <c r="F43" s="1">
        <v>2017</v>
      </c>
      <c r="G43" s="128">
        <v>396210.46682600002</v>
      </c>
      <c r="H43" s="1"/>
      <c r="I43" s="1"/>
    </row>
    <row r="44" spans="1:9">
      <c r="A44" s="1" t="s">
        <v>1472</v>
      </c>
      <c r="B44" s="1" t="s">
        <v>1473</v>
      </c>
      <c r="C44" s="1">
        <v>22</v>
      </c>
      <c r="D44" s="1" t="s">
        <v>1493</v>
      </c>
      <c r="E44" s="1" t="s">
        <v>1474</v>
      </c>
      <c r="F44" s="1">
        <v>2017</v>
      </c>
      <c r="G44" s="128">
        <v>231.604738693</v>
      </c>
      <c r="H44" s="1"/>
      <c r="I44" s="1"/>
    </row>
    <row r="45" spans="1:9">
      <c r="A45" s="1" t="s">
        <v>1472</v>
      </c>
      <c r="B45" s="1" t="s">
        <v>1473</v>
      </c>
      <c r="C45" s="1">
        <v>22</v>
      </c>
      <c r="D45" s="1" t="s">
        <v>455</v>
      </c>
      <c r="E45" s="1" t="s">
        <v>1474</v>
      </c>
      <c r="F45" s="1">
        <v>2017</v>
      </c>
      <c r="G45" s="128">
        <v>904182.26907299994</v>
      </c>
      <c r="H45" s="1"/>
      <c r="I45" s="1"/>
    </row>
    <row r="46" spans="1:9">
      <c r="A46" s="1" t="s">
        <v>1472</v>
      </c>
      <c r="B46" s="1" t="s">
        <v>1473</v>
      </c>
      <c r="C46" s="1">
        <v>22</v>
      </c>
      <c r="D46" s="1" t="s">
        <v>1498</v>
      </c>
      <c r="E46" s="1" t="s">
        <v>1474</v>
      </c>
      <c r="F46" s="1">
        <v>2017</v>
      </c>
      <c r="G46" s="128">
        <v>7824.9985584599999</v>
      </c>
      <c r="H46" s="1"/>
      <c r="I46" s="1"/>
    </row>
    <row r="47" spans="1:9">
      <c r="A47" s="1" t="s">
        <v>1472</v>
      </c>
      <c r="B47" s="1" t="s">
        <v>1473</v>
      </c>
      <c r="C47" s="1">
        <v>22</v>
      </c>
      <c r="D47" s="1" t="s">
        <v>1500</v>
      </c>
      <c r="E47" s="1" t="s">
        <v>1474</v>
      </c>
      <c r="F47" s="1">
        <v>2017</v>
      </c>
      <c r="G47" s="128">
        <v>425645.89232599997</v>
      </c>
      <c r="H47" s="1"/>
      <c r="I47" s="1"/>
    </row>
    <row r="48" spans="1:9">
      <c r="A48" s="1" t="s">
        <v>1472</v>
      </c>
      <c r="B48" s="1" t="s">
        <v>1473</v>
      </c>
      <c r="C48" s="1">
        <v>22</v>
      </c>
      <c r="D48" s="1" t="s">
        <v>1501</v>
      </c>
      <c r="E48" s="1" t="s">
        <v>1474</v>
      </c>
      <c r="F48" s="1">
        <v>2017</v>
      </c>
      <c r="G48" s="128">
        <v>3508323.5235799998</v>
      </c>
      <c r="H48" s="1"/>
      <c r="I48" s="1"/>
    </row>
    <row r="49" spans="1:9">
      <c r="A49" s="1" t="s">
        <v>1472</v>
      </c>
      <c r="B49" s="1" t="s">
        <v>1473</v>
      </c>
      <c r="C49" s="1">
        <v>22</v>
      </c>
      <c r="D49" s="1" t="s">
        <v>1601</v>
      </c>
      <c r="E49" s="1" t="s">
        <v>1474</v>
      </c>
      <c r="F49" s="1">
        <v>2017</v>
      </c>
      <c r="G49" s="128">
        <v>5104.5453871</v>
      </c>
      <c r="H49" s="1"/>
      <c r="I49" s="1"/>
    </row>
    <row r="50" spans="1:9">
      <c r="A50" s="1" t="s">
        <v>1472</v>
      </c>
      <c r="B50" s="1" t="s">
        <v>1473</v>
      </c>
      <c r="C50" s="1">
        <v>22</v>
      </c>
      <c r="D50" s="1" t="s">
        <v>1602</v>
      </c>
      <c r="E50" s="1" t="s">
        <v>1474</v>
      </c>
      <c r="F50" s="1">
        <v>2017</v>
      </c>
      <c r="G50" s="128">
        <v>328520.612845</v>
      </c>
      <c r="H50" s="1"/>
      <c r="I50" s="1"/>
    </row>
    <row r="51" spans="1:9">
      <c r="A51" s="1" t="s">
        <v>1472</v>
      </c>
      <c r="B51" s="1" t="s">
        <v>1473</v>
      </c>
      <c r="C51" s="1">
        <v>22</v>
      </c>
      <c r="D51" s="1" t="s">
        <v>1603</v>
      </c>
      <c r="E51" s="1" t="s">
        <v>1474</v>
      </c>
      <c r="F51" s="1">
        <v>2017</v>
      </c>
      <c r="G51" s="128">
        <v>180.07886540300001</v>
      </c>
      <c r="H51" s="1"/>
      <c r="I51" s="1"/>
    </row>
    <row r="52" spans="1:9">
      <c r="A52" s="1" t="s">
        <v>1472</v>
      </c>
      <c r="B52" s="1" t="s">
        <v>1473</v>
      </c>
      <c r="C52" s="1">
        <v>22</v>
      </c>
      <c r="D52" s="1" t="s">
        <v>1604</v>
      </c>
      <c r="E52" s="1" t="s">
        <v>1474</v>
      </c>
      <c r="F52" s="1">
        <v>2017</v>
      </c>
      <c r="G52" s="128">
        <v>782.82030670500001</v>
      </c>
      <c r="H52" s="1"/>
      <c r="I52" s="1"/>
    </row>
    <row r="53" spans="1:9">
      <c r="A53" s="1" t="s">
        <v>1472</v>
      </c>
      <c r="B53" s="1" t="s">
        <v>1473</v>
      </c>
      <c r="C53" s="1">
        <v>22</v>
      </c>
      <c r="D53" s="1" t="s">
        <v>1605</v>
      </c>
      <c r="E53" s="1" t="s">
        <v>1474</v>
      </c>
      <c r="F53" s="1">
        <v>2017</v>
      </c>
      <c r="G53" s="128">
        <v>140.66064067900001</v>
      </c>
      <c r="H53" s="1"/>
      <c r="I53" s="1"/>
    </row>
    <row r="54" spans="1:9">
      <c r="A54" s="1" t="s">
        <v>1472</v>
      </c>
      <c r="B54" s="1" t="s">
        <v>1473</v>
      </c>
      <c r="C54" s="1">
        <v>22</v>
      </c>
      <c r="D54" s="1" t="s">
        <v>1649</v>
      </c>
      <c r="E54" s="1" t="s">
        <v>1474</v>
      </c>
      <c r="F54" s="1">
        <v>2017</v>
      </c>
      <c r="G54" s="128">
        <v>455150.61600799998</v>
      </c>
      <c r="H54" s="1"/>
      <c r="I54" s="1"/>
    </row>
    <row r="55" spans="1:9">
      <c r="A55" s="1" t="s">
        <v>1472</v>
      </c>
      <c r="B55" s="1" t="s">
        <v>1473</v>
      </c>
      <c r="C55" s="1">
        <v>22</v>
      </c>
      <c r="D55" s="1" t="s">
        <v>540</v>
      </c>
      <c r="E55" s="1" t="s">
        <v>1474</v>
      </c>
      <c r="F55" s="1">
        <v>2017</v>
      </c>
      <c r="G55" s="128">
        <v>19709.6774573</v>
      </c>
      <c r="H55" s="1"/>
      <c r="I55" s="1"/>
    </row>
    <row r="56" spans="1:9">
      <c r="A56" s="1" t="s">
        <v>1472</v>
      </c>
      <c r="B56" s="1" t="s">
        <v>1473</v>
      </c>
      <c r="C56" s="1">
        <v>22</v>
      </c>
      <c r="D56" s="1" t="s">
        <v>1650</v>
      </c>
      <c r="E56" s="1" t="s">
        <v>1474</v>
      </c>
      <c r="F56" s="1">
        <v>2017</v>
      </c>
      <c r="G56" s="128">
        <v>292195.88939800003</v>
      </c>
      <c r="H56" s="1"/>
      <c r="I56" s="1"/>
    </row>
    <row r="57" spans="1:9">
      <c r="A57" s="1" t="s">
        <v>1472</v>
      </c>
      <c r="B57" s="1" t="s">
        <v>1473</v>
      </c>
      <c r="C57" s="1">
        <v>22</v>
      </c>
      <c r="D57" s="1" t="s">
        <v>1651</v>
      </c>
      <c r="E57" s="1" t="s">
        <v>1474</v>
      </c>
      <c r="F57" s="1">
        <v>2017</v>
      </c>
      <c r="G57" s="128">
        <v>1422882.04424</v>
      </c>
      <c r="H57" s="1"/>
      <c r="I57" s="1"/>
    </row>
    <row r="58" spans="1:9">
      <c r="A58" s="1" t="s">
        <v>1472</v>
      </c>
      <c r="B58" s="1" t="s">
        <v>1473</v>
      </c>
      <c r="C58" s="1">
        <v>22</v>
      </c>
      <c r="D58" s="1" t="s">
        <v>1652</v>
      </c>
      <c r="E58" s="1" t="s">
        <v>1474</v>
      </c>
      <c r="F58" s="1">
        <v>2017</v>
      </c>
      <c r="G58" s="128">
        <v>524347.03718300001</v>
      </c>
      <c r="H58" s="1"/>
      <c r="I58" s="1"/>
    </row>
    <row r="59" spans="1:9">
      <c r="A59" s="1" t="s">
        <v>1472</v>
      </c>
      <c r="B59" s="1" t="s">
        <v>1473</v>
      </c>
      <c r="C59" s="1">
        <v>22</v>
      </c>
      <c r="D59" s="1" t="s">
        <v>1653</v>
      </c>
      <c r="E59" s="1" t="s">
        <v>1474</v>
      </c>
      <c r="F59" s="1">
        <v>2017</v>
      </c>
      <c r="G59" s="128">
        <v>60757.376418699998</v>
      </c>
      <c r="H59" s="1"/>
      <c r="I59" s="1"/>
    </row>
    <row r="60" spans="1:9">
      <c r="A60" s="1" t="s">
        <v>1472</v>
      </c>
      <c r="B60" s="1" t="s">
        <v>1473</v>
      </c>
      <c r="C60" s="1">
        <v>22</v>
      </c>
      <c r="D60" s="1" t="s">
        <v>1654</v>
      </c>
      <c r="E60" s="1" t="s">
        <v>1474</v>
      </c>
      <c r="F60" s="1">
        <v>2017</v>
      </c>
      <c r="G60" s="128">
        <v>346305.95595700003</v>
      </c>
      <c r="H60" s="1"/>
      <c r="I60" s="1"/>
    </row>
    <row r="61" spans="1:9">
      <c r="A61" s="1" t="s">
        <v>1472</v>
      </c>
      <c r="B61" s="1" t="s">
        <v>1473</v>
      </c>
      <c r="C61" s="1">
        <v>22</v>
      </c>
      <c r="D61" s="1" t="s">
        <v>500</v>
      </c>
      <c r="E61" s="1" t="s">
        <v>1474</v>
      </c>
      <c r="F61" s="1">
        <v>2017</v>
      </c>
      <c r="G61" s="128">
        <v>349984.47739900002</v>
      </c>
      <c r="H61" s="1"/>
      <c r="I61" s="1"/>
    </row>
    <row r="62" spans="1:9">
      <c r="A62" s="1" t="s">
        <v>1472</v>
      </c>
      <c r="B62" s="1" t="s">
        <v>1473</v>
      </c>
      <c r="C62" s="1">
        <v>22</v>
      </c>
      <c r="D62" s="1" t="s">
        <v>1664</v>
      </c>
      <c r="E62" s="1" t="s">
        <v>1474</v>
      </c>
      <c r="F62" s="1">
        <v>2017</v>
      </c>
      <c r="G62" s="128">
        <v>1061373.3749599999</v>
      </c>
      <c r="H62" s="1"/>
      <c r="I62" s="1"/>
    </row>
    <row r="63" spans="1:9">
      <c r="A63" s="1" t="s">
        <v>1472</v>
      </c>
      <c r="B63" s="1" t="s">
        <v>1473</v>
      </c>
      <c r="C63" s="1">
        <v>22</v>
      </c>
      <c r="D63" s="1" t="s">
        <v>1665</v>
      </c>
      <c r="E63" s="1" t="s">
        <v>1474</v>
      </c>
      <c r="F63" s="1">
        <v>2017</v>
      </c>
      <c r="G63" s="128">
        <v>126488.162081</v>
      </c>
      <c r="H63" s="1"/>
      <c r="I63" s="1"/>
    </row>
    <row r="64" spans="1:9">
      <c r="A64" s="1" t="s">
        <v>1472</v>
      </c>
      <c r="B64" s="1" t="s">
        <v>1473</v>
      </c>
      <c r="C64" s="1">
        <v>22</v>
      </c>
      <c r="D64" s="1" t="s">
        <v>1674</v>
      </c>
      <c r="E64" s="1" t="s">
        <v>1474</v>
      </c>
      <c r="F64" s="1">
        <v>2017</v>
      </c>
      <c r="G64" s="128">
        <v>9617099.5464200005</v>
      </c>
      <c r="H64" s="1"/>
      <c r="I64" s="1"/>
    </row>
    <row r="65" spans="1:9">
      <c r="A65" s="1" t="s">
        <v>1472</v>
      </c>
      <c r="B65" s="1" t="s">
        <v>1473</v>
      </c>
      <c r="C65" s="1">
        <v>22</v>
      </c>
      <c r="D65" s="1" t="s">
        <v>1680</v>
      </c>
      <c r="E65" s="1" t="s">
        <v>1474</v>
      </c>
      <c r="F65" s="1">
        <v>2017</v>
      </c>
      <c r="G65" s="128">
        <v>87364.015732100001</v>
      </c>
      <c r="H65" s="1"/>
      <c r="I65" s="1"/>
    </row>
    <row r="66" spans="1:9">
      <c r="A66" s="1" t="s">
        <v>1472</v>
      </c>
      <c r="B66" s="1" t="s">
        <v>1473</v>
      </c>
      <c r="C66" s="1">
        <v>22</v>
      </c>
      <c r="D66" s="1" t="s">
        <v>1681</v>
      </c>
      <c r="E66" s="1" t="s">
        <v>1474</v>
      </c>
      <c r="F66" s="1">
        <v>2017</v>
      </c>
      <c r="G66" s="128">
        <v>3339250.4569100002</v>
      </c>
      <c r="H66" s="1"/>
      <c r="I66" s="1"/>
    </row>
    <row r="67" spans="1:9">
      <c r="A67" s="1" t="s">
        <v>1472</v>
      </c>
      <c r="B67" s="1" t="s">
        <v>1473</v>
      </c>
      <c r="C67" s="1">
        <v>22</v>
      </c>
      <c r="D67" s="1" t="s">
        <v>1682</v>
      </c>
      <c r="E67" s="1" t="s">
        <v>1474</v>
      </c>
      <c r="F67" s="1">
        <v>2017</v>
      </c>
      <c r="G67" s="128">
        <v>2088975.9304599999</v>
      </c>
      <c r="H67" s="1"/>
      <c r="I67" s="1"/>
    </row>
    <row r="68" spans="1:9">
      <c r="A68" s="1" t="s">
        <v>1472</v>
      </c>
      <c r="B68" s="1" t="s">
        <v>1473</v>
      </c>
      <c r="C68" s="1">
        <v>22</v>
      </c>
      <c r="D68" s="1" t="s">
        <v>1502</v>
      </c>
      <c r="E68" s="1" t="s">
        <v>1474</v>
      </c>
      <c r="F68" s="1">
        <v>2017</v>
      </c>
      <c r="G68" s="128">
        <v>470222.04360999999</v>
      </c>
      <c r="H68" s="1"/>
      <c r="I68" s="1"/>
    </row>
    <row r="69" spans="1:9">
      <c r="A69" s="1" t="s">
        <v>1472</v>
      </c>
      <c r="B69" s="1" t="s">
        <v>1473</v>
      </c>
      <c r="C69" s="1">
        <v>22</v>
      </c>
      <c r="D69" s="1" t="s">
        <v>1503</v>
      </c>
      <c r="E69" s="1" t="s">
        <v>1474</v>
      </c>
      <c r="F69" s="1">
        <v>2017</v>
      </c>
      <c r="G69" s="128">
        <v>296693.10647300002</v>
      </c>
      <c r="H69" s="1"/>
      <c r="I69" s="1"/>
    </row>
    <row r="70" spans="1:9">
      <c r="A70" s="1" t="s">
        <v>1472</v>
      </c>
      <c r="B70" s="1" t="s">
        <v>1473</v>
      </c>
      <c r="C70" s="1">
        <v>22</v>
      </c>
      <c r="D70" s="1" t="s">
        <v>1504</v>
      </c>
      <c r="E70" s="1" t="s">
        <v>1474</v>
      </c>
      <c r="F70" s="1">
        <v>2017</v>
      </c>
      <c r="G70" s="128">
        <v>40957.822591600001</v>
      </c>
      <c r="H70" s="1"/>
      <c r="I70" s="1"/>
    </row>
    <row r="71" spans="1:9">
      <c r="A71" s="1" t="s">
        <v>1472</v>
      </c>
      <c r="B71" s="1" t="s">
        <v>1473</v>
      </c>
      <c r="C71" s="1">
        <v>22</v>
      </c>
      <c r="D71" s="1" t="s">
        <v>1505</v>
      </c>
      <c r="E71" s="1" t="s">
        <v>1474</v>
      </c>
      <c r="F71" s="1">
        <v>2017</v>
      </c>
      <c r="G71" s="128">
        <v>177390.557715</v>
      </c>
      <c r="H71" s="1"/>
      <c r="I71" s="1"/>
    </row>
    <row r="72" spans="1:9">
      <c r="A72" s="1" t="s">
        <v>1472</v>
      </c>
      <c r="B72" s="1" t="s">
        <v>1473</v>
      </c>
      <c r="C72" s="1">
        <v>22</v>
      </c>
      <c r="D72" s="1" t="s">
        <v>1506</v>
      </c>
      <c r="E72" s="1" t="s">
        <v>1474</v>
      </c>
      <c r="F72" s="1">
        <v>2017</v>
      </c>
      <c r="G72" s="128">
        <v>306819.252201</v>
      </c>
      <c r="H72" s="1"/>
      <c r="I72" s="1"/>
    </row>
    <row r="73" spans="1:9">
      <c r="A73" s="1" t="s">
        <v>1472</v>
      </c>
      <c r="B73" s="1" t="s">
        <v>1473</v>
      </c>
      <c r="C73" s="1">
        <v>22</v>
      </c>
      <c r="D73" s="1" t="s">
        <v>1507</v>
      </c>
      <c r="E73" s="1" t="s">
        <v>1474</v>
      </c>
      <c r="F73" s="1">
        <v>2017</v>
      </c>
      <c r="G73" s="128">
        <v>1272.3786892400001</v>
      </c>
      <c r="H73" s="1"/>
      <c r="I73" s="1"/>
    </row>
    <row r="74" spans="1:9">
      <c r="A74" s="1" t="s">
        <v>1472</v>
      </c>
      <c r="B74" s="1" t="s">
        <v>1473</v>
      </c>
      <c r="C74" s="1">
        <v>22</v>
      </c>
      <c r="D74" s="1" t="s">
        <v>1508</v>
      </c>
      <c r="E74" s="1" t="s">
        <v>1474</v>
      </c>
      <c r="F74" s="1">
        <v>2017</v>
      </c>
      <c r="G74" s="128">
        <v>1063188.99633</v>
      </c>
      <c r="H74" s="1"/>
      <c r="I74" s="1"/>
    </row>
    <row r="75" spans="1:9">
      <c r="A75" s="1" t="s">
        <v>1472</v>
      </c>
      <c r="B75" s="1" t="s">
        <v>1473</v>
      </c>
      <c r="C75" s="1">
        <v>22</v>
      </c>
      <c r="D75" s="1" t="s">
        <v>1511</v>
      </c>
      <c r="E75" s="1" t="s">
        <v>1474</v>
      </c>
      <c r="F75" s="1">
        <v>2017</v>
      </c>
      <c r="G75" s="128">
        <v>2502957.8382999999</v>
      </c>
      <c r="H75" s="1"/>
      <c r="I75" s="1"/>
    </row>
    <row r="76" spans="1:9">
      <c r="A76" s="1" t="s">
        <v>1472</v>
      </c>
      <c r="B76" s="1" t="s">
        <v>1473</v>
      </c>
      <c r="C76" s="1">
        <v>22</v>
      </c>
      <c r="D76" s="1" t="s">
        <v>1513</v>
      </c>
      <c r="E76" s="1" t="s">
        <v>1474</v>
      </c>
      <c r="F76" s="1">
        <v>2017</v>
      </c>
      <c r="G76" s="128">
        <v>206415.39264599999</v>
      </c>
      <c r="H76" s="1"/>
      <c r="I76" s="1"/>
    </row>
    <row r="77" spans="1:9">
      <c r="A77" s="1" t="s">
        <v>1472</v>
      </c>
      <c r="B77" s="1" t="s">
        <v>1473</v>
      </c>
      <c r="C77" s="1">
        <v>22</v>
      </c>
      <c r="D77" s="1" t="s">
        <v>1514</v>
      </c>
      <c r="E77" s="1" t="s">
        <v>1474</v>
      </c>
      <c r="F77" s="1">
        <v>2017</v>
      </c>
      <c r="G77" s="128">
        <v>10175420.243899999</v>
      </c>
      <c r="H77" s="1"/>
      <c r="I77" s="1"/>
    </row>
    <row r="78" spans="1:9">
      <c r="A78" s="1" t="s">
        <v>1472</v>
      </c>
      <c r="B78" s="1" t="s">
        <v>1473</v>
      </c>
      <c r="C78" s="1">
        <v>22</v>
      </c>
      <c r="D78" s="1" t="s">
        <v>1518</v>
      </c>
      <c r="E78" s="1" t="s">
        <v>1474</v>
      </c>
      <c r="F78" s="1">
        <v>2017</v>
      </c>
      <c r="G78" s="128">
        <v>240536.83465400001</v>
      </c>
      <c r="H78" s="1"/>
      <c r="I78" s="1"/>
    </row>
    <row r="79" spans="1:9">
      <c r="A79" s="1" t="s">
        <v>1472</v>
      </c>
      <c r="B79" s="1" t="s">
        <v>1473</v>
      </c>
      <c r="C79" s="1">
        <v>22</v>
      </c>
      <c r="D79" s="1" t="s">
        <v>1690</v>
      </c>
      <c r="E79" s="1" t="s">
        <v>1474</v>
      </c>
      <c r="F79" s="1">
        <v>2017</v>
      </c>
      <c r="G79" s="128">
        <v>192075.68685200001</v>
      </c>
      <c r="H79" s="1"/>
      <c r="I79" s="1"/>
    </row>
    <row r="80" spans="1:9">
      <c r="A80" s="1" t="s">
        <v>1472</v>
      </c>
      <c r="B80" s="1" t="s">
        <v>1473</v>
      </c>
      <c r="C80" s="1">
        <v>22</v>
      </c>
      <c r="D80" s="1" t="s">
        <v>460</v>
      </c>
      <c r="E80" s="1" t="s">
        <v>1474</v>
      </c>
      <c r="F80" s="1">
        <v>2017</v>
      </c>
      <c r="G80" s="128">
        <v>607002.18926799996</v>
      </c>
      <c r="H80" s="1"/>
      <c r="I80" s="1"/>
    </row>
    <row r="81" spans="1:9">
      <c r="A81" s="1" t="s">
        <v>1472</v>
      </c>
      <c r="B81" s="1" t="s">
        <v>1473</v>
      </c>
      <c r="C81" s="1">
        <v>22</v>
      </c>
      <c r="D81" s="1" t="s">
        <v>457</v>
      </c>
      <c r="E81" s="1" t="s">
        <v>1474</v>
      </c>
      <c r="F81" s="1">
        <v>2017</v>
      </c>
      <c r="G81" s="128">
        <v>133315.594438</v>
      </c>
      <c r="H81" s="1"/>
      <c r="I81" s="1"/>
    </row>
    <row r="82" spans="1:9">
      <c r="A82" s="1" t="s">
        <v>1472</v>
      </c>
      <c r="B82" s="1" t="s">
        <v>1473</v>
      </c>
      <c r="C82" s="1">
        <v>22</v>
      </c>
      <c r="D82" s="1" t="s">
        <v>1697</v>
      </c>
      <c r="E82" s="1" t="s">
        <v>1474</v>
      </c>
      <c r="F82" s="1">
        <v>2017</v>
      </c>
      <c r="G82" s="128">
        <v>656014.72322699998</v>
      </c>
      <c r="H82" s="1"/>
      <c r="I82" s="1"/>
    </row>
    <row r="83" spans="1:9">
      <c r="A83" s="1" t="s">
        <v>1472</v>
      </c>
      <c r="B83" s="1" t="s">
        <v>1473</v>
      </c>
      <c r="C83" s="1">
        <v>22</v>
      </c>
      <c r="D83" s="1" t="s">
        <v>1698</v>
      </c>
      <c r="E83" s="1" t="s">
        <v>1474</v>
      </c>
      <c r="F83" s="1">
        <v>2017</v>
      </c>
      <c r="G83" s="128">
        <v>35057.553466899997</v>
      </c>
      <c r="H83" s="1"/>
      <c r="I83" s="1"/>
    </row>
    <row r="84" spans="1:9">
      <c r="A84" s="1" t="s">
        <v>1472</v>
      </c>
      <c r="B84" s="1" t="s">
        <v>1473</v>
      </c>
      <c r="C84" s="1">
        <v>22</v>
      </c>
      <c r="D84" s="1" t="s">
        <v>1701</v>
      </c>
      <c r="E84" s="1" t="s">
        <v>1474</v>
      </c>
      <c r="F84" s="1">
        <v>2017</v>
      </c>
      <c r="G84" s="128">
        <v>114342.711238</v>
      </c>
      <c r="H84" s="1"/>
      <c r="I84" s="1"/>
    </row>
    <row r="85" spans="1:9">
      <c r="A85" s="1" t="s">
        <v>1472</v>
      </c>
      <c r="B85" s="1" t="s">
        <v>1473</v>
      </c>
      <c r="C85" s="1">
        <v>22</v>
      </c>
      <c r="D85" s="1" t="s">
        <v>486</v>
      </c>
      <c r="E85" s="1" t="s">
        <v>1474</v>
      </c>
      <c r="F85" s="1">
        <v>2017</v>
      </c>
      <c r="G85" s="128">
        <v>391914.18557799998</v>
      </c>
      <c r="H85" s="1"/>
      <c r="I85" s="1"/>
    </row>
    <row r="86" spans="1:9">
      <c r="A86" s="1" t="s">
        <v>1472</v>
      </c>
      <c r="B86" s="1" t="s">
        <v>1473</v>
      </c>
      <c r="C86" s="1">
        <v>22</v>
      </c>
      <c r="D86" s="1" t="s">
        <v>1702</v>
      </c>
      <c r="E86" s="1" t="s">
        <v>1474</v>
      </c>
      <c r="F86" s="1">
        <v>2017</v>
      </c>
      <c r="G86" s="128">
        <v>252023.23261599999</v>
      </c>
      <c r="H86" s="1"/>
      <c r="I86" s="1"/>
    </row>
    <row r="87" spans="1:9">
      <c r="A87" s="1" t="s">
        <v>1472</v>
      </c>
      <c r="B87" s="1" t="s">
        <v>1473</v>
      </c>
      <c r="C87" s="1">
        <v>22</v>
      </c>
      <c r="D87" s="1" t="s">
        <v>1703</v>
      </c>
      <c r="E87" s="1" t="s">
        <v>1474</v>
      </c>
      <c r="F87" s="1">
        <v>2017</v>
      </c>
      <c r="G87" s="128">
        <v>129467.935901</v>
      </c>
      <c r="H87" s="1"/>
      <c r="I87" s="1"/>
    </row>
    <row r="88" spans="1:9">
      <c r="A88" s="1" t="s">
        <v>1472</v>
      </c>
      <c r="B88" s="1" t="s">
        <v>1473</v>
      </c>
      <c r="C88" s="1">
        <v>22</v>
      </c>
      <c r="D88" s="1" t="s">
        <v>1704</v>
      </c>
      <c r="E88" s="1" t="s">
        <v>1474</v>
      </c>
      <c r="F88" s="1">
        <v>2017</v>
      </c>
      <c r="G88" s="128">
        <v>371916.72533400002</v>
      </c>
      <c r="H88" s="1"/>
      <c r="I88" s="1"/>
    </row>
    <row r="89" spans="1:9">
      <c r="A89" s="1" t="s">
        <v>1472</v>
      </c>
      <c r="B89" s="1" t="s">
        <v>1473</v>
      </c>
      <c r="C89" s="1">
        <v>22</v>
      </c>
      <c r="D89" s="1" t="s">
        <v>498</v>
      </c>
      <c r="E89" s="1" t="s">
        <v>1474</v>
      </c>
      <c r="F89" s="1">
        <v>2017</v>
      </c>
      <c r="G89" s="128">
        <v>840328.69450099999</v>
      </c>
      <c r="H89" s="1"/>
      <c r="I89" s="1"/>
    </row>
    <row r="90" spans="1:9">
      <c r="A90" s="1" t="s">
        <v>1472</v>
      </c>
      <c r="B90" s="1" t="s">
        <v>1473</v>
      </c>
      <c r="C90" s="1">
        <v>22</v>
      </c>
      <c r="D90" s="1" t="s">
        <v>1705</v>
      </c>
      <c r="E90" s="1" t="s">
        <v>1474</v>
      </c>
      <c r="F90" s="1">
        <v>2017</v>
      </c>
      <c r="G90" s="128">
        <v>161.52186769599999</v>
      </c>
      <c r="H90" s="1"/>
      <c r="I90" s="1"/>
    </row>
    <row r="91" spans="1:9">
      <c r="A91" s="1" t="s">
        <v>1472</v>
      </c>
      <c r="B91" s="1" t="s">
        <v>1473</v>
      </c>
      <c r="C91" s="1">
        <v>22</v>
      </c>
      <c r="D91" s="1" t="s">
        <v>496</v>
      </c>
      <c r="E91" s="1" t="s">
        <v>1474</v>
      </c>
      <c r="F91" s="1">
        <v>2017</v>
      </c>
      <c r="G91" s="128">
        <v>1642665.98116</v>
      </c>
      <c r="H91" s="1"/>
      <c r="I91" s="1"/>
    </row>
    <row r="92" spans="1:9">
      <c r="A92" s="1" t="s">
        <v>1472</v>
      </c>
      <c r="B92" s="1" t="s">
        <v>1473</v>
      </c>
      <c r="C92" s="1">
        <v>22</v>
      </c>
      <c r="D92" s="1" t="s">
        <v>1709</v>
      </c>
      <c r="E92" s="1" t="s">
        <v>1474</v>
      </c>
      <c r="F92" s="1">
        <v>2017</v>
      </c>
      <c r="G92" s="128">
        <v>463670.218139</v>
      </c>
      <c r="H92" s="1"/>
      <c r="I92" s="1"/>
    </row>
    <row r="93" spans="1:9">
      <c r="A93" s="1" t="s">
        <v>1472</v>
      </c>
      <c r="B93" s="1" t="s">
        <v>1473</v>
      </c>
      <c r="C93" s="1">
        <v>22</v>
      </c>
      <c r="D93" s="1" t="s">
        <v>1528</v>
      </c>
      <c r="E93" s="1" t="s">
        <v>1474</v>
      </c>
      <c r="F93" s="1">
        <v>2017</v>
      </c>
      <c r="G93" s="128">
        <v>32870.5131492</v>
      </c>
      <c r="H93" s="1"/>
      <c r="I93" s="1"/>
    </row>
    <row r="94" spans="1:9">
      <c r="A94" s="1" t="s">
        <v>1472</v>
      </c>
      <c r="B94" s="1" t="s">
        <v>1473</v>
      </c>
      <c r="C94" s="1">
        <v>22</v>
      </c>
      <c r="D94" s="1" t="s">
        <v>1529</v>
      </c>
      <c r="E94" s="1" t="s">
        <v>1474</v>
      </c>
      <c r="F94" s="1">
        <v>2017</v>
      </c>
      <c r="G94" s="128">
        <v>760300.901495</v>
      </c>
      <c r="H94" s="1"/>
      <c r="I94" s="1"/>
    </row>
    <row r="95" spans="1:9">
      <c r="A95" s="1" t="s">
        <v>1472</v>
      </c>
      <c r="B95" s="1" t="s">
        <v>1473</v>
      </c>
      <c r="C95" s="1">
        <v>22</v>
      </c>
      <c r="D95" s="1" t="s">
        <v>1530</v>
      </c>
      <c r="E95" s="1" t="s">
        <v>1474</v>
      </c>
      <c r="F95" s="1">
        <v>2017</v>
      </c>
      <c r="G95" s="128">
        <v>481861.50175900001</v>
      </c>
      <c r="H95" s="1"/>
      <c r="I95" s="1"/>
    </row>
    <row r="96" spans="1:9">
      <c r="A96" s="1" t="s">
        <v>1472</v>
      </c>
      <c r="B96" s="1" t="s">
        <v>1473</v>
      </c>
      <c r="C96" s="1">
        <v>22</v>
      </c>
      <c r="D96" s="1" t="s">
        <v>1531</v>
      </c>
      <c r="E96" s="1" t="s">
        <v>1474</v>
      </c>
      <c r="F96" s="1">
        <v>2017</v>
      </c>
      <c r="G96" s="128">
        <v>71192.291985499993</v>
      </c>
      <c r="H96" s="1"/>
      <c r="I96" s="1"/>
    </row>
    <row r="97" spans="1:9">
      <c r="A97" s="1" t="s">
        <v>1472</v>
      </c>
      <c r="B97" s="1" t="s">
        <v>1473</v>
      </c>
      <c r="C97" s="1">
        <v>22</v>
      </c>
      <c r="D97" s="1" t="s">
        <v>1536</v>
      </c>
      <c r="E97" s="1" t="s">
        <v>1474</v>
      </c>
      <c r="F97" s="1">
        <v>2017</v>
      </c>
      <c r="G97" s="128">
        <v>36028.4639044</v>
      </c>
      <c r="H97" s="1"/>
      <c r="I97" s="1"/>
    </row>
    <row r="98" spans="1:9">
      <c r="A98" s="1" t="s">
        <v>1472</v>
      </c>
      <c r="B98" s="1" t="s">
        <v>1473</v>
      </c>
      <c r="C98" s="1">
        <v>22</v>
      </c>
      <c r="D98" s="1" t="s">
        <v>1537</v>
      </c>
      <c r="E98" s="1" t="s">
        <v>1474</v>
      </c>
      <c r="F98" s="1">
        <v>2017</v>
      </c>
      <c r="G98" s="128">
        <v>4.4576692163900002</v>
      </c>
      <c r="H98" s="1"/>
      <c r="I98" s="1"/>
    </row>
    <row r="99" spans="1:9">
      <c r="A99" s="1" t="s">
        <v>1472</v>
      </c>
      <c r="B99" s="1" t="s">
        <v>1473</v>
      </c>
      <c r="C99" s="1">
        <v>22</v>
      </c>
      <c r="D99" s="1" t="s">
        <v>1538</v>
      </c>
      <c r="E99" s="1" t="s">
        <v>1474</v>
      </c>
      <c r="F99" s="1">
        <v>2017</v>
      </c>
      <c r="G99" s="128">
        <v>14422.528007700001</v>
      </c>
      <c r="H99" s="1"/>
      <c r="I99" s="1"/>
    </row>
    <row r="100" spans="1:9">
      <c r="A100" s="1" t="s">
        <v>1472</v>
      </c>
      <c r="B100" s="1" t="s">
        <v>1473</v>
      </c>
      <c r="C100" s="1">
        <v>22</v>
      </c>
      <c r="D100" s="1" t="s">
        <v>406</v>
      </c>
      <c r="E100" s="1" t="s">
        <v>1474</v>
      </c>
      <c r="F100" s="1">
        <v>2017</v>
      </c>
      <c r="G100" s="128">
        <v>287.451132906</v>
      </c>
      <c r="H100" s="1"/>
      <c r="I100" s="1"/>
    </row>
    <row r="101" spans="1:9">
      <c r="A101" s="1" t="s">
        <v>1472</v>
      </c>
      <c r="B101" s="1" t="s">
        <v>1473</v>
      </c>
      <c r="C101" s="1">
        <v>22</v>
      </c>
      <c r="D101" s="1" t="s">
        <v>1539</v>
      </c>
      <c r="E101" s="1" t="s">
        <v>1474</v>
      </c>
      <c r="F101" s="1">
        <v>2017</v>
      </c>
      <c r="G101" s="128">
        <v>1317.3004704299999</v>
      </c>
      <c r="H101" s="1"/>
      <c r="I101" s="1"/>
    </row>
    <row r="102" spans="1:9">
      <c r="A102" s="1" t="s">
        <v>1472</v>
      </c>
      <c r="B102" s="1" t="s">
        <v>1473</v>
      </c>
      <c r="C102" s="1">
        <v>22</v>
      </c>
      <c r="D102" s="1" t="s">
        <v>1608</v>
      </c>
      <c r="E102" s="1" t="s">
        <v>1474</v>
      </c>
      <c r="F102" s="1">
        <v>2017</v>
      </c>
      <c r="G102" s="128">
        <v>0</v>
      </c>
      <c r="H102" s="1"/>
      <c r="I102" s="1"/>
    </row>
    <row r="103" spans="1:9">
      <c r="A103" s="1" t="s">
        <v>1472</v>
      </c>
      <c r="B103" s="1" t="s">
        <v>1473</v>
      </c>
      <c r="C103" s="1">
        <v>22</v>
      </c>
      <c r="D103" s="1" t="s">
        <v>1609</v>
      </c>
      <c r="E103" s="1" t="s">
        <v>1474</v>
      </c>
      <c r="F103" s="1">
        <v>2017</v>
      </c>
      <c r="G103" s="128">
        <v>408537.19868899998</v>
      </c>
      <c r="H103" s="1"/>
      <c r="I103" s="1"/>
    </row>
    <row r="104" spans="1:9">
      <c r="A104" s="1" t="s">
        <v>1472</v>
      </c>
      <c r="B104" s="1" t="s">
        <v>1473</v>
      </c>
      <c r="C104" s="1">
        <v>22</v>
      </c>
      <c r="D104" s="1" t="s">
        <v>464</v>
      </c>
      <c r="E104" s="1" t="s">
        <v>1474</v>
      </c>
      <c r="F104" s="1">
        <v>2017</v>
      </c>
      <c r="G104" s="128">
        <v>80400.329282399995</v>
      </c>
      <c r="H104" s="1"/>
      <c r="I104" s="1"/>
    </row>
    <row r="105" spans="1:9">
      <c r="A105" s="1" t="s">
        <v>1472</v>
      </c>
      <c r="B105" s="1" t="s">
        <v>1473</v>
      </c>
      <c r="C105" s="1">
        <v>22</v>
      </c>
      <c r="D105" s="1" t="s">
        <v>377</v>
      </c>
      <c r="E105" s="1" t="s">
        <v>1474</v>
      </c>
      <c r="F105" s="1">
        <v>2017</v>
      </c>
      <c r="G105" s="128">
        <v>528507.98808399995</v>
      </c>
      <c r="H105" s="1"/>
      <c r="I105" s="1"/>
    </row>
    <row r="106" spans="1:9">
      <c r="A106" s="1" t="s">
        <v>1472</v>
      </c>
      <c r="B106" s="1" t="s">
        <v>1473</v>
      </c>
      <c r="C106" s="1">
        <v>22</v>
      </c>
      <c r="D106" s="1" t="s">
        <v>1614</v>
      </c>
      <c r="E106" s="1" t="s">
        <v>1474</v>
      </c>
      <c r="F106" s="1">
        <v>2017</v>
      </c>
      <c r="G106" s="128">
        <v>304877.88942800002</v>
      </c>
      <c r="H106" s="1"/>
      <c r="I106" s="1"/>
    </row>
    <row r="107" spans="1:9">
      <c r="A107" s="1" t="s">
        <v>1472</v>
      </c>
      <c r="B107" s="1" t="s">
        <v>1473</v>
      </c>
      <c r="C107" s="1">
        <v>22</v>
      </c>
      <c r="D107" s="1" t="s">
        <v>1615</v>
      </c>
      <c r="E107" s="1" t="s">
        <v>1474</v>
      </c>
      <c r="F107" s="1">
        <v>2017</v>
      </c>
      <c r="G107" s="128">
        <v>260431.39071899999</v>
      </c>
      <c r="H107" s="1"/>
      <c r="I107" s="1"/>
    </row>
    <row r="108" spans="1:9">
      <c r="A108" s="1" t="s">
        <v>1472</v>
      </c>
      <c r="B108" s="1" t="s">
        <v>1473</v>
      </c>
      <c r="C108" s="1">
        <v>22</v>
      </c>
      <c r="D108" s="1" t="s">
        <v>1616</v>
      </c>
      <c r="E108" s="1" t="s">
        <v>1474</v>
      </c>
      <c r="F108" s="1">
        <v>2017</v>
      </c>
      <c r="G108" s="128">
        <v>5477899.2010500003</v>
      </c>
      <c r="H108" s="1"/>
      <c r="I108" s="1"/>
    </row>
    <row r="109" spans="1:9">
      <c r="A109" s="1" t="s">
        <v>1472</v>
      </c>
      <c r="B109" s="1" t="s">
        <v>1473</v>
      </c>
      <c r="C109" s="1">
        <v>22</v>
      </c>
      <c r="D109" s="1" t="s">
        <v>1617</v>
      </c>
      <c r="E109" s="1" t="s">
        <v>1474</v>
      </c>
      <c r="F109" s="1">
        <v>2017</v>
      </c>
      <c r="G109" s="128">
        <v>6356927.8979000002</v>
      </c>
      <c r="H109" s="1"/>
      <c r="I109" s="1"/>
    </row>
    <row r="110" spans="1:9">
      <c r="A110" s="1" t="s">
        <v>1472</v>
      </c>
      <c r="B110" s="1" t="s">
        <v>1473</v>
      </c>
      <c r="C110" s="1">
        <v>22</v>
      </c>
      <c r="D110" s="1" t="s">
        <v>1618</v>
      </c>
      <c r="E110" s="1" t="s">
        <v>1474</v>
      </c>
      <c r="F110" s="1">
        <v>2017</v>
      </c>
      <c r="G110" s="128">
        <v>4275298.7540199999</v>
      </c>
      <c r="H110" s="1"/>
      <c r="I110" s="1"/>
    </row>
    <row r="111" spans="1:9">
      <c r="A111" s="1" t="s">
        <v>1472</v>
      </c>
      <c r="B111" s="1" t="s">
        <v>1473</v>
      </c>
      <c r="C111" s="1">
        <v>22</v>
      </c>
      <c r="D111" s="1" t="s">
        <v>1540</v>
      </c>
      <c r="E111" s="1" t="s">
        <v>1474</v>
      </c>
      <c r="F111" s="1">
        <v>2017</v>
      </c>
      <c r="G111" s="128">
        <v>18023.214181399999</v>
      </c>
      <c r="H111" s="1"/>
      <c r="I111" s="1"/>
    </row>
    <row r="112" spans="1:9">
      <c r="A112" s="1" t="s">
        <v>1472</v>
      </c>
      <c r="B112" s="1" t="s">
        <v>1473</v>
      </c>
      <c r="C112" s="1">
        <v>22</v>
      </c>
      <c r="D112" s="1" t="s">
        <v>330</v>
      </c>
      <c r="E112" s="1" t="s">
        <v>1474</v>
      </c>
      <c r="F112" s="1">
        <v>2017</v>
      </c>
      <c r="G112" s="128">
        <v>2378507.8007100001</v>
      </c>
      <c r="H112" s="1"/>
      <c r="I112" s="1"/>
    </row>
    <row r="113" spans="1:9">
      <c r="A113" s="1" t="s">
        <v>1472</v>
      </c>
      <c r="B113" s="1" t="s">
        <v>1473</v>
      </c>
      <c r="C113" s="1">
        <v>22</v>
      </c>
      <c r="D113" s="1" t="s">
        <v>1541</v>
      </c>
      <c r="E113" s="1" t="s">
        <v>1474</v>
      </c>
      <c r="F113" s="1">
        <v>2017</v>
      </c>
      <c r="G113" s="128">
        <v>0</v>
      </c>
      <c r="H113" s="1"/>
      <c r="I113" s="1"/>
    </row>
    <row r="114" spans="1:9">
      <c r="A114" s="1" t="s">
        <v>1472</v>
      </c>
      <c r="B114" s="1" t="s">
        <v>1473</v>
      </c>
      <c r="C114" s="1">
        <v>22</v>
      </c>
      <c r="D114" s="1" t="s">
        <v>1542</v>
      </c>
      <c r="E114" s="1" t="s">
        <v>1474</v>
      </c>
      <c r="F114" s="1">
        <v>2017</v>
      </c>
      <c r="G114" s="128">
        <v>0</v>
      </c>
      <c r="H114" s="1"/>
      <c r="I114" s="1"/>
    </row>
    <row r="115" spans="1:9">
      <c r="A115" s="1" t="s">
        <v>1472</v>
      </c>
      <c r="B115" s="1" t="s">
        <v>1473</v>
      </c>
      <c r="C115" s="1">
        <v>22</v>
      </c>
      <c r="D115" s="1" t="s">
        <v>1545</v>
      </c>
      <c r="E115" s="1" t="s">
        <v>1474</v>
      </c>
      <c r="F115" s="1">
        <v>2017</v>
      </c>
      <c r="G115" s="128">
        <v>0</v>
      </c>
      <c r="H115" s="1"/>
      <c r="I115" s="1"/>
    </row>
    <row r="116" spans="1:9">
      <c r="A116" s="1" t="s">
        <v>1472</v>
      </c>
      <c r="B116" s="1" t="s">
        <v>1473</v>
      </c>
      <c r="C116" s="1">
        <v>22</v>
      </c>
      <c r="D116" s="1" t="s">
        <v>1546</v>
      </c>
      <c r="E116" s="1" t="s">
        <v>1474</v>
      </c>
      <c r="F116" s="1">
        <v>2017</v>
      </c>
      <c r="G116" s="128">
        <v>5252305.9707300002</v>
      </c>
      <c r="H116" s="1"/>
      <c r="I116" s="1"/>
    </row>
    <row r="117" spans="1:9">
      <c r="A117" s="1" t="s">
        <v>1472</v>
      </c>
      <c r="B117" s="1" t="s">
        <v>1473</v>
      </c>
      <c r="C117" s="1">
        <v>22</v>
      </c>
      <c r="D117" s="1" t="s">
        <v>1547</v>
      </c>
      <c r="E117" s="1" t="s">
        <v>1474</v>
      </c>
      <c r="F117" s="1">
        <v>2017</v>
      </c>
      <c r="G117" s="128">
        <v>41025.103690900003</v>
      </c>
      <c r="H117" s="1"/>
      <c r="I117" s="1"/>
    </row>
    <row r="118" spans="1:9">
      <c r="A118" s="1" t="s">
        <v>1472</v>
      </c>
      <c r="B118" s="1" t="s">
        <v>1473</v>
      </c>
      <c r="C118" s="1">
        <v>22</v>
      </c>
      <c r="D118" s="1" t="s">
        <v>1548</v>
      </c>
      <c r="E118" s="1" t="s">
        <v>1474</v>
      </c>
      <c r="F118" s="1">
        <v>2017</v>
      </c>
      <c r="G118" s="128">
        <v>895.23058910700001</v>
      </c>
      <c r="H118" s="1"/>
      <c r="I118" s="1"/>
    </row>
    <row r="119" spans="1:9">
      <c r="A119" s="1" t="s">
        <v>1472</v>
      </c>
      <c r="B119" s="1" t="s">
        <v>1473</v>
      </c>
      <c r="C119" s="1">
        <v>22</v>
      </c>
      <c r="D119" s="1" t="s">
        <v>594</v>
      </c>
      <c r="E119" s="1" t="s">
        <v>1474</v>
      </c>
      <c r="F119" s="1">
        <v>2017</v>
      </c>
      <c r="G119" s="128">
        <v>219269.62723700001</v>
      </c>
      <c r="H119" s="1"/>
      <c r="I119" s="1"/>
    </row>
    <row r="120" spans="1:9">
      <c r="A120" s="1" t="s">
        <v>1472</v>
      </c>
      <c r="B120" s="1" t="s">
        <v>1473</v>
      </c>
      <c r="C120" s="1">
        <v>22</v>
      </c>
      <c r="D120" s="1" t="s">
        <v>1549</v>
      </c>
      <c r="E120" s="1" t="s">
        <v>1474</v>
      </c>
      <c r="F120" s="1">
        <v>2017</v>
      </c>
      <c r="G120" s="128">
        <v>315.23065763900001</v>
      </c>
      <c r="H120" s="1"/>
      <c r="I120" s="1"/>
    </row>
    <row r="121" spans="1:9">
      <c r="A121" s="1" t="s">
        <v>1472</v>
      </c>
      <c r="B121" s="1" t="s">
        <v>1473</v>
      </c>
      <c r="C121" s="1">
        <v>22</v>
      </c>
      <c r="D121" s="1" t="s">
        <v>608</v>
      </c>
      <c r="E121" s="1" t="s">
        <v>1474</v>
      </c>
      <c r="F121" s="1">
        <v>2017</v>
      </c>
      <c r="G121" s="128">
        <v>11636.5248008</v>
      </c>
      <c r="H121" s="1"/>
      <c r="I121" s="1"/>
    </row>
    <row r="122" spans="1:9">
      <c r="A122" s="1" t="s">
        <v>1472</v>
      </c>
      <c r="B122" s="1" t="s">
        <v>1473</v>
      </c>
      <c r="C122" s="1">
        <v>22</v>
      </c>
      <c r="D122" s="1" t="s">
        <v>1550</v>
      </c>
      <c r="E122" s="1" t="s">
        <v>1474</v>
      </c>
      <c r="F122" s="1">
        <v>2017</v>
      </c>
      <c r="G122" s="128">
        <v>23317.417947400001</v>
      </c>
      <c r="H122" s="1"/>
      <c r="I122" s="1"/>
    </row>
    <row r="123" spans="1:9">
      <c r="A123" s="1" t="s">
        <v>1472</v>
      </c>
      <c r="B123" s="1" t="s">
        <v>1473</v>
      </c>
      <c r="C123" s="1">
        <v>22</v>
      </c>
      <c r="D123" s="1" t="s">
        <v>1551</v>
      </c>
      <c r="E123" s="1" t="s">
        <v>1474</v>
      </c>
      <c r="F123" s="1">
        <v>2017</v>
      </c>
      <c r="G123" s="128">
        <v>23.328497780300001</v>
      </c>
      <c r="H123" s="1"/>
      <c r="I123" s="1"/>
    </row>
    <row r="124" spans="1:9">
      <c r="A124" s="1" t="s">
        <v>1472</v>
      </c>
      <c r="B124" s="1" t="s">
        <v>1473</v>
      </c>
      <c r="C124" s="1">
        <v>22</v>
      </c>
      <c r="D124" s="1" t="s">
        <v>1552</v>
      </c>
      <c r="E124" s="1" t="s">
        <v>1474</v>
      </c>
      <c r="F124" s="1">
        <v>2017</v>
      </c>
      <c r="G124" s="128">
        <v>2.0850094392999998</v>
      </c>
      <c r="H124" s="1"/>
      <c r="I124" s="1"/>
    </row>
    <row r="125" spans="1:9">
      <c r="A125" s="1" t="s">
        <v>1472</v>
      </c>
      <c r="B125" s="1" t="s">
        <v>1473</v>
      </c>
      <c r="C125" s="1">
        <v>22</v>
      </c>
      <c r="D125" s="1" t="s">
        <v>1553</v>
      </c>
      <c r="E125" s="1" t="s">
        <v>1474</v>
      </c>
      <c r="F125" s="1">
        <v>2017</v>
      </c>
      <c r="G125" s="128">
        <v>5106267.7783399997</v>
      </c>
      <c r="H125" s="1"/>
      <c r="I125" s="1"/>
    </row>
    <row r="126" spans="1:9">
      <c r="A126" s="1" t="s">
        <v>1472</v>
      </c>
      <c r="B126" s="1" t="s">
        <v>1473</v>
      </c>
      <c r="C126" s="1">
        <v>22</v>
      </c>
      <c r="D126" s="1" t="s">
        <v>529</v>
      </c>
      <c r="E126" s="1" t="s">
        <v>1474</v>
      </c>
      <c r="F126" s="1">
        <v>2017</v>
      </c>
      <c r="G126" s="128">
        <v>2852.4962150900001</v>
      </c>
      <c r="H126" s="1"/>
      <c r="I126" s="1"/>
    </row>
    <row r="127" spans="1:9">
      <c r="A127" s="1" t="s">
        <v>1472</v>
      </c>
      <c r="B127" s="1" t="s">
        <v>1473</v>
      </c>
      <c r="C127" s="1">
        <v>22</v>
      </c>
      <c r="D127" s="1" t="s">
        <v>1524</v>
      </c>
      <c r="E127" s="1" t="s">
        <v>1474</v>
      </c>
      <c r="F127" s="1">
        <v>2017</v>
      </c>
      <c r="G127" s="128">
        <v>3017586.9157099999</v>
      </c>
      <c r="H127" s="1"/>
      <c r="I127" s="1"/>
    </row>
    <row r="128" spans="1:9">
      <c r="A128" s="1" t="s">
        <v>1472</v>
      </c>
      <c r="B128" s="1" t="s">
        <v>1473</v>
      </c>
      <c r="C128" s="1">
        <v>22</v>
      </c>
      <c r="D128" s="1" t="s">
        <v>1714</v>
      </c>
      <c r="E128" s="1" t="s">
        <v>1474</v>
      </c>
      <c r="F128" s="1">
        <v>2017</v>
      </c>
      <c r="G128" s="128">
        <v>2176680.8198500001</v>
      </c>
      <c r="H128" s="1"/>
      <c r="I128" s="1"/>
    </row>
    <row r="129" spans="1:9">
      <c r="A129" s="1" t="s">
        <v>1472</v>
      </c>
      <c r="B129" s="1" t="s">
        <v>1473</v>
      </c>
      <c r="C129" s="1">
        <v>22</v>
      </c>
      <c r="D129" s="1" t="s">
        <v>1720</v>
      </c>
      <c r="E129" s="1" t="s">
        <v>1474</v>
      </c>
      <c r="F129" s="1">
        <v>2017</v>
      </c>
      <c r="G129" s="128">
        <v>101510.502721</v>
      </c>
      <c r="H129" s="1"/>
      <c r="I129" s="1"/>
    </row>
    <row r="130" spans="1:9">
      <c r="A130" s="1" t="s">
        <v>1472</v>
      </c>
      <c r="B130" s="1" t="s">
        <v>1473</v>
      </c>
      <c r="C130" s="1">
        <v>22</v>
      </c>
      <c r="D130" s="1" t="s">
        <v>1721</v>
      </c>
      <c r="E130" s="1" t="s">
        <v>1474</v>
      </c>
      <c r="F130" s="1">
        <v>2017</v>
      </c>
      <c r="G130" s="128">
        <v>0</v>
      </c>
      <c r="H130" s="1"/>
      <c r="I130" s="1"/>
    </row>
    <row r="131" spans="1:9">
      <c r="A131" s="1" t="s">
        <v>1472</v>
      </c>
      <c r="B131" s="1" t="s">
        <v>1473</v>
      </c>
      <c r="C131" s="1">
        <v>22</v>
      </c>
      <c r="D131" s="1" t="s">
        <v>1727</v>
      </c>
      <c r="E131" s="1" t="s">
        <v>1474</v>
      </c>
      <c r="F131" s="1">
        <v>2017</v>
      </c>
      <c r="G131" s="128">
        <v>6086.1607897599997</v>
      </c>
      <c r="H131" s="1"/>
      <c r="I131" s="1"/>
    </row>
    <row r="132" spans="1:9">
      <c r="A132" s="1" t="s">
        <v>1472</v>
      </c>
      <c r="B132" s="1" t="s">
        <v>1473</v>
      </c>
      <c r="C132" s="1">
        <v>22</v>
      </c>
      <c r="D132" s="1" t="s">
        <v>1729</v>
      </c>
      <c r="E132" s="1" t="s">
        <v>1474</v>
      </c>
      <c r="F132" s="1">
        <v>2017</v>
      </c>
      <c r="G132" s="128">
        <v>0</v>
      </c>
      <c r="H132" s="1"/>
      <c r="I132" s="1"/>
    </row>
    <row r="133" spans="1:9">
      <c r="A133" s="1" t="s">
        <v>1472</v>
      </c>
      <c r="B133" s="1" t="s">
        <v>1473</v>
      </c>
      <c r="C133" s="1">
        <v>22</v>
      </c>
      <c r="D133" s="1" t="s">
        <v>1730</v>
      </c>
      <c r="E133" s="1" t="s">
        <v>1474</v>
      </c>
      <c r="F133" s="1">
        <v>2017</v>
      </c>
      <c r="G133" s="128">
        <v>0</v>
      </c>
      <c r="H133" s="1"/>
      <c r="I133" s="1"/>
    </row>
    <row r="134" spans="1:9">
      <c r="A134" s="1" t="s">
        <v>1472</v>
      </c>
      <c r="B134" s="1" t="s">
        <v>1473</v>
      </c>
      <c r="C134" s="1">
        <v>22</v>
      </c>
      <c r="D134" s="1" t="s">
        <v>538</v>
      </c>
      <c r="E134" s="1" t="s">
        <v>1474</v>
      </c>
      <c r="F134" s="1">
        <v>2017</v>
      </c>
      <c r="G134" s="128">
        <v>249.35034288099999</v>
      </c>
      <c r="H134" s="1"/>
      <c r="I134" s="1"/>
    </row>
    <row r="135" spans="1:9">
      <c r="A135" s="1" t="s">
        <v>1472</v>
      </c>
      <c r="B135" s="1" t="s">
        <v>1473</v>
      </c>
      <c r="C135" s="1">
        <v>22</v>
      </c>
      <c r="D135" s="1" t="s">
        <v>554</v>
      </c>
      <c r="E135" s="1" t="s">
        <v>1474</v>
      </c>
      <c r="F135" s="1">
        <v>2017</v>
      </c>
      <c r="G135" s="128">
        <v>48452.194237000003</v>
      </c>
      <c r="H135" s="1"/>
      <c r="I135" s="1"/>
    </row>
    <row r="136" spans="1:9">
      <c r="A136" s="1" t="s">
        <v>1472</v>
      </c>
      <c r="B136" s="1" t="s">
        <v>1473</v>
      </c>
      <c r="C136" s="1">
        <v>22</v>
      </c>
      <c r="D136" s="1" t="s">
        <v>1559</v>
      </c>
      <c r="E136" s="1" t="s">
        <v>1474</v>
      </c>
      <c r="F136" s="1">
        <v>2017</v>
      </c>
      <c r="G136" s="128">
        <v>1808.7662222700001</v>
      </c>
      <c r="H136" s="1"/>
      <c r="I136" s="1"/>
    </row>
    <row r="137" spans="1:9">
      <c r="A137" s="1" t="s">
        <v>1472</v>
      </c>
      <c r="B137" s="1" t="s">
        <v>1473</v>
      </c>
      <c r="C137" s="1">
        <v>22</v>
      </c>
      <c r="D137" s="1" t="s">
        <v>1560</v>
      </c>
      <c r="E137" s="1" t="s">
        <v>1474</v>
      </c>
      <c r="F137" s="1">
        <v>2017</v>
      </c>
      <c r="G137" s="128">
        <v>51.203177708200002</v>
      </c>
      <c r="H137" s="1"/>
      <c r="I137" s="1"/>
    </row>
    <row r="138" spans="1:9">
      <c r="A138" s="1" t="s">
        <v>1472</v>
      </c>
      <c r="B138" s="1" t="s">
        <v>1473</v>
      </c>
      <c r="C138" s="1">
        <v>22</v>
      </c>
      <c r="D138" s="1" t="s">
        <v>589</v>
      </c>
      <c r="E138" s="1" t="s">
        <v>1474</v>
      </c>
      <c r="F138" s="1">
        <v>2017</v>
      </c>
      <c r="G138" s="128">
        <v>19358.7575044</v>
      </c>
      <c r="H138" s="1"/>
      <c r="I138" s="1"/>
    </row>
    <row r="139" spans="1:9">
      <c r="A139" s="1" t="s">
        <v>1472</v>
      </c>
      <c r="B139" s="1" t="s">
        <v>1473</v>
      </c>
      <c r="C139" s="1">
        <v>22</v>
      </c>
      <c r="D139" s="1" t="s">
        <v>1561</v>
      </c>
      <c r="E139" s="1" t="s">
        <v>1474</v>
      </c>
      <c r="F139" s="1">
        <v>2017</v>
      </c>
      <c r="G139" s="128">
        <v>4737.8065800300001</v>
      </c>
      <c r="H139" s="1"/>
      <c r="I139" s="1"/>
    </row>
    <row r="140" spans="1:9">
      <c r="A140" s="1" t="s">
        <v>1472</v>
      </c>
      <c r="B140" s="1" t="s">
        <v>1473</v>
      </c>
      <c r="C140" s="1">
        <v>22</v>
      </c>
      <c r="D140" s="1" t="s">
        <v>1563</v>
      </c>
      <c r="E140" s="1" t="s">
        <v>1474</v>
      </c>
      <c r="F140" s="1">
        <v>2017</v>
      </c>
      <c r="G140" s="128">
        <v>29671.1452771</v>
      </c>
      <c r="H140" s="1"/>
      <c r="I140" s="1"/>
    </row>
    <row r="141" spans="1:9">
      <c r="A141" s="1" t="s">
        <v>1472</v>
      </c>
      <c r="B141" s="1" t="s">
        <v>1473</v>
      </c>
      <c r="C141" s="1">
        <v>22</v>
      </c>
      <c r="D141" s="1" t="s">
        <v>1564</v>
      </c>
      <c r="E141" s="1" t="s">
        <v>1474</v>
      </c>
      <c r="F141" s="1">
        <v>2017</v>
      </c>
      <c r="G141" s="128">
        <v>6617.2549813599999</v>
      </c>
      <c r="H141" s="1"/>
      <c r="I141" s="1"/>
    </row>
    <row r="142" spans="1:9">
      <c r="A142" s="1" t="s">
        <v>1472</v>
      </c>
      <c r="B142" s="1" t="s">
        <v>1473</v>
      </c>
      <c r="C142" s="1">
        <v>22</v>
      </c>
      <c r="D142" s="1" t="s">
        <v>462</v>
      </c>
      <c r="E142" s="1" t="s">
        <v>1474</v>
      </c>
      <c r="F142" s="1">
        <v>2017</v>
      </c>
      <c r="G142" s="128">
        <v>124765.791872</v>
      </c>
      <c r="H142" s="1"/>
      <c r="I142" s="1"/>
    </row>
    <row r="143" spans="1:9">
      <c r="A143" s="1" t="s">
        <v>1472</v>
      </c>
      <c r="B143" s="1" t="s">
        <v>1473</v>
      </c>
      <c r="C143" s="1">
        <v>22</v>
      </c>
      <c r="D143" s="1" t="s">
        <v>1565</v>
      </c>
      <c r="E143" s="1" t="s">
        <v>1474</v>
      </c>
      <c r="F143" s="1">
        <v>2017</v>
      </c>
      <c r="G143" s="128">
        <v>974.46903808499997</v>
      </c>
      <c r="H143" s="1"/>
      <c r="I143" s="1"/>
    </row>
    <row r="144" spans="1:9">
      <c r="A144" s="1" t="s">
        <v>1472</v>
      </c>
      <c r="B144" s="1" t="s">
        <v>1473</v>
      </c>
      <c r="C144" s="1">
        <v>22</v>
      </c>
      <c r="D144" s="1" t="s">
        <v>1567</v>
      </c>
      <c r="E144" s="1" t="s">
        <v>1474</v>
      </c>
      <c r="F144" s="1">
        <v>2017</v>
      </c>
      <c r="G144" s="128">
        <v>180.37986654700001</v>
      </c>
      <c r="H144" s="1"/>
      <c r="I144" s="1"/>
    </row>
    <row r="145" spans="1:9">
      <c r="A145" s="1" t="s">
        <v>1472</v>
      </c>
      <c r="B145" s="1" t="s">
        <v>1473</v>
      </c>
      <c r="C145" s="1">
        <v>22</v>
      </c>
      <c r="D145" s="1" t="s">
        <v>1568</v>
      </c>
      <c r="E145" s="1" t="s">
        <v>1474</v>
      </c>
      <c r="F145" s="1">
        <v>2017</v>
      </c>
      <c r="G145" s="128">
        <v>169.917452572</v>
      </c>
      <c r="H145" s="1"/>
      <c r="I145" s="1"/>
    </row>
    <row r="146" spans="1:9">
      <c r="A146" s="1" t="s">
        <v>1472</v>
      </c>
      <c r="B146" s="1" t="s">
        <v>1473</v>
      </c>
      <c r="C146" s="1">
        <v>22</v>
      </c>
      <c r="D146" s="1" t="s">
        <v>471</v>
      </c>
      <c r="E146" s="1" t="s">
        <v>1474</v>
      </c>
      <c r="F146" s="1">
        <v>2017</v>
      </c>
      <c r="G146" s="128">
        <v>32752.580426699998</v>
      </c>
      <c r="H146" s="1"/>
      <c r="I146" s="1"/>
    </row>
    <row r="147" spans="1:9">
      <c r="A147" s="1" t="s">
        <v>1472</v>
      </c>
      <c r="B147" s="1" t="s">
        <v>1473</v>
      </c>
      <c r="C147" s="1">
        <v>22</v>
      </c>
      <c r="D147" s="1" t="s">
        <v>493</v>
      </c>
      <c r="E147" s="1" t="s">
        <v>1474</v>
      </c>
      <c r="F147" s="1">
        <v>2017</v>
      </c>
      <c r="G147" s="128">
        <v>213202.97149600001</v>
      </c>
      <c r="H147" s="1"/>
      <c r="I147" s="1"/>
    </row>
    <row r="148" spans="1:9">
      <c r="A148" s="1" t="s">
        <v>1472</v>
      </c>
      <c r="B148" s="1" t="s">
        <v>1473</v>
      </c>
      <c r="C148" s="1">
        <v>22</v>
      </c>
      <c r="D148" s="1" t="s">
        <v>1569</v>
      </c>
      <c r="E148" s="1" t="s">
        <v>1474</v>
      </c>
      <c r="F148" s="1">
        <v>2017</v>
      </c>
      <c r="G148" s="128">
        <v>117059.64479000001</v>
      </c>
      <c r="H148" s="1"/>
      <c r="I148" s="1"/>
    </row>
    <row r="149" spans="1:9">
      <c r="A149" s="1" t="s">
        <v>1472</v>
      </c>
      <c r="B149" s="1" t="s">
        <v>1473</v>
      </c>
      <c r="C149" s="1">
        <v>22</v>
      </c>
      <c r="D149" s="1" t="s">
        <v>1572</v>
      </c>
      <c r="E149" s="1" t="s">
        <v>1474</v>
      </c>
      <c r="F149" s="1">
        <v>2017</v>
      </c>
      <c r="G149" s="128">
        <v>97028.331931299996</v>
      </c>
      <c r="H149" s="1"/>
      <c r="I149" s="1"/>
    </row>
    <row r="150" spans="1:9">
      <c r="A150" s="1" t="s">
        <v>1472</v>
      </c>
      <c r="B150" s="1" t="s">
        <v>1473</v>
      </c>
      <c r="C150" s="1">
        <v>22</v>
      </c>
      <c r="D150" s="1" t="s">
        <v>1573</v>
      </c>
      <c r="E150" s="1" t="s">
        <v>1474</v>
      </c>
      <c r="F150" s="1">
        <v>2017</v>
      </c>
      <c r="G150" s="128">
        <v>486431.67561899999</v>
      </c>
      <c r="H150" s="1"/>
      <c r="I150" s="1"/>
    </row>
    <row r="151" spans="1:9">
      <c r="A151" s="1" t="s">
        <v>1472</v>
      </c>
      <c r="B151" s="1" t="s">
        <v>1473</v>
      </c>
      <c r="C151" s="1">
        <v>22</v>
      </c>
      <c r="D151" s="1" t="s">
        <v>1574</v>
      </c>
      <c r="E151" s="1" t="s">
        <v>1474</v>
      </c>
      <c r="F151" s="1">
        <v>2017</v>
      </c>
      <c r="G151" s="128">
        <v>4136.5505843399997</v>
      </c>
      <c r="H151" s="1"/>
      <c r="I151" s="1"/>
    </row>
    <row r="152" spans="1:9">
      <c r="A152" s="1" t="s">
        <v>1472</v>
      </c>
      <c r="B152" s="1" t="s">
        <v>1473</v>
      </c>
      <c r="C152" s="1">
        <v>22</v>
      </c>
      <c r="D152" s="1" t="s">
        <v>533</v>
      </c>
      <c r="E152" s="1" t="s">
        <v>1474</v>
      </c>
      <c r="F152" s="1">
        <v>2017</v>
      </c>
      <c r="G152" s="128">
        <v>208335.83605099999</v>
      </c>
      <c r="H152" s="1"/>
      <c r="I152" s="1"/>
    </row>
    <row r="153" spans="1:9">
      <c r="A153" s="1" t="s">
        <v>1472</v>
      </c>
      <c r="B153" s="1" t="s">
        <v>1473</v>
      </c>
      <c r="C153" s="1">
        <v>22</v>
      </c>
      <c r="D153" s="1" t="s">
        <v>574</v>
      </c>
      <c r="E153" s="1" t="s">
        <v>1474</v>
      </c>
      <c r="F153" s="1">
        <v>2017</v>
      </c>
      <c r="G153" s="128">
        <v>7520.3942705500003</v>
      </c>
      <c r="H153" s="1"/>
      <c r="I153" s="1"/>
    </row>
    <row r="154" spans="1:9">
      <c r="A154" s="1" t="s">
        <v>1472</v>
      </c>
      <c r="B154" s="1" t="s">
        <v>1473</v>
      </c>
      <c r="C154" s="1">
        <v>22</v>
      </c>
      <c r="D154" s="1" t="s">
        <v>1577</v>
      </c>
      <c r="E154" s="1" t="s">
        <v>1474</v>
      </c>
      <c r="F154" s="1">
        <v>2017</v>
      </c>
      <c r="G154" s="128">
        <v>363984.483916</v>
      </c>
      <c r="H154" s="1"/>
      <c r="I154" s="1"/>
    </row>
    <row r="155" spans="1:9">
      <c r="A155" s="1" t="s">
        <v>1472</v>
      </c>
      <c r="B155" s="1" t="s">
        <v>1473</v>
      </c>
      <c r="C155" s="1">
        <v>22</v>
      </c>
      <c r="D155" s="1" t="s">
        <v>1580</v>
      </c>
      <c r="E155" s="1" t="s">
        <v>1474</v>
      </c>
      <c r="F155" s="1">
        <v>2017</v>
      </c>
      <c r="G155" s="128">
        <v>3663.0854950799999</v>
      </c>
      <c r="H155" s="1"/>
      <c r="I155" s="1"/>
    </row>
    <row r="156" spans="1:9">
      <c r="A156" s="1" t="s">
        <v>1472</v>
      </c>
      <c r="B156" s="1" t="s">
        <v>1473</v>
      </c>
      <c r="C156" s="1">
        <v>22</v>
      </c>
      <c r="D156" s="1" t="s">
        <v>1581</v>
      </c>
      <c r="E156" s="1" t="s">
        <v>1474</v>
      </c>
      <c r="F156" s="1">
        <v>2017</v>
      </c>
      <c r="G156" s="128">
        <v>86296.786390099995</v>
      </c>
      <c r="H156" s="1"/>
      <c r="I156" s="1"/>
    </row>
    <row r="157" spans="1:9">
      <c r="A157" s="1" t="s">
        <v>1472</v>
      </c>
      <c r="B157" s="1" t="s">
        <v>1473</v>
      </c>
      <c r="C157" s="1">
        <v>22</v>
      </c>
      <c r="D157" s="1" t="s">
        <v>1584</v>
      </c>
      <c r="E157" s="1" t="s">
        <v>1474</v>
      </c>
      <c r="F157" s="1">
        <v>2017</v>
      </c>
      <c r="G157" s="128">
        <v>42449.8828746</v>
      </c>
      <c r="H157" s="1"/>
      <c r="I157" s="1"/>
    </row>
    <row r="158" spans="1:9">
      <c r="A158" s="1" t="s">
        <v>1472</v>
      </c>
      <c r="B158" s="1" t="s">
        <v>1473</v>
      </c>
      <c r="C158" s="1">
        <v>22</v>
      </c>
      <c r="D158" s="1" t="s">
        <v>1588</v>
      </c>
      <c r="E158" s="1" t="s">
        <v>1474</v>
      </c>
      <c r="F158" s="1">
        <v>2017</v>
      </c>
      <c r="G158" s="128">
        <v>159378.124622</v>
      </c>
      <c r="H158" s="1"/>
      <c r="I158" s="1"/>
    </row>
    <row r="159" spans="1:9">
      <c r="A159" s="1" t="s">
        <v>1472</v>
      </c>
      <c r="B159" s="1" t="s">
        <v>1473</v>
      </c>
      <c r="C159" s="1">
        <v>22</v>
      </c>
      <c r="D159" s="1" t="s">
        <v>1589</v>
      </c>
      <c r="E159" s="1" t="s">
        <v>1474</v>
      </c>
      <c r="F159" s="1">
        <v>2017</v>
      </c>
      <c r="G159" s="128">
        <v>11319.609987100001</v>
      </c>
      <c r="H159" s="1"/>
      <c r="I159" s="1"/>
    </row>
    <row r="160" spans="1:9">
      <c r="A160" s="1" t="s">
        <v>1472</v>
      </c>
      <c r="B160" s="1" t="s">
        <v>1473</v>
      </c>
      <c r="C160" s="1">
        <v>22</v>
      </c>
      <c r="D160" s="1" t="s">
        <v>343</v>
      </c>
      <c r="E160" s="1" t="s">
        <v>1474</v>
      </c>
      <c r="F160" s="1">
        <v>2017</v>
      </c>
      <c r="G160" s="128">
        <v>549948.823921</v>
      </c>
      <c r="H160" s="1"/>
      <c r="I160" s="1"/>
    </row>
    <row r="161" spans="1:9">
      <c r="A161" s="1" t="s">
        <v>1472</v>
      </c>
      <c r="B161" s="1" t="s">
        <v>1473</v>
      </c>
      <c r="C161" s="1">
        <v>22</v>
      </c>
      <c r="D161" s="1" t="s">
        <v>1595</v>
      </c>
      <c r="E161" s="1" t="s">
        <v>1474</v>
      </c>
      <c r="F161" s="1">
        <v>2017</v>
      </c>
      <c r="G161" s="128">
        <v>1905.72598565</v>
      </c>
      <c r="H161" s="1"/>
      <c r="I161" s="1"/>
    </row>
    <row r="162" spans="1:9">
      <c r="A162" s="1" t="s">
        <v>1472</v>
      </c>
      <c r="B162" s="1" t="s">
        <v>1473</v>
      </c>
      <c r="C162" s="1">
        <v>22</v>
      </c>
      <c r="D162" s="1" t="s">
        <v>1736</v>
      </c>
      <c r="E162" s="1" t="s">
        <v>1474</v>
      </c>
      <c r="F162" s="1">
        <v>2017</v>
      </c>
      <c r="G162" s="128">
        <v>42392.396968699999</v>
      </c>
      <c r="H162" s="1"/>
      <c r="I162" s="1"/>
    </row>
    <row r="163" spans="1:9">
      <c r="A163" s="1" t="s">
        <v>1472</v>
      </c>
      <c r="B163" s="1" t="s">
        <v>1473</v>
      </c>
      <c r="C163" s="1">
        <v>22</v>
      </c>
      <c r="D163" s="1" t="s">
        <v>1743</v>
      </c>
      <c r="E163" s="1" t="s">
        <v>1474</v>
      </c>
      <c r="F163" s="1">
        <v>2017</v>
      </c>
      <c r="G163" s="128">
        <v>0</v>
      </c>
      <c r="H163" s="1"/>
      <c r="I163" s="1"/>
    </row>
    <row r="164" spans="1:9">
      <c r="A164" s="1" t="s">
        <v>1472</v>
      </c>
      <c r="B164" s="1" t="s">
        <v>1473</v>
      </c>
      <c r="C164" s="1">
        <v>22</v>
      </c>
      <c r="D164" s="1" t="s">
        <v>1744</v>
      </c>
      <c r="E164" s="1" t="s">
        <v>1474</v>
      </c>
      <c r="F164" s="1">
        <v>2017</v>
      </c>
      <c r="G164" s="128">
        <v>690.06306901999994</v>
      </c>
      <c r="H164" s="1"/>
      <c r="I164" s="1"/>
    </row>
    <row r="166" spans="1:9">
      <c r="B166" s="1" t="s">
        <v>1977</v>
      </c>
    </row>
    <row r="168" spans="1:9">
      <c r="B168" s="1" t="s">
        <v>1469</v>
      </c>
      <c r="C168" s="1" t="s">
        <v>1470</v>
      </c>
      <c r="D168" s="1" t="s">
        <v>298</v>
      </c>
      <c r="E168" s="1" t="s">
        <v>1968</v>
      </c>
      <c r="G168" s="1"/>
    </row>
    <row r="169" spans="1:9">
      <c r="B169" s="1" t="s">
        <v>1472</v>
      </c>
      <c r="C169" s="1" t="s">
        <v>1473</v>
      </c>
      <c r="D169" s="1" t="s">
        <v>1475</v>
      </c>
      <c r="E169" s="1">
        <v>520393.00573199999</v>
      </c>
      <c r="G169" s="1"/>
    </row>
    <row r="170" spans="1:9">
      <c r="B170" s="1" t="s">
        <v>1472</v>
      </c>
      <c r="C170" s="1" t="s">
        <v>1473</v>
      </c>
      <c r="D170" s="1" t="s">
        <v>347</v>
      </c>
      <c r="E170" s="1">
        <v>554960.52541999996</v>
      </c>
      <c r="G170" s="1"/>
    </row>
    <row r="171" spans="1:9">
      <c r="B171" s="1" t="s">
        <v>1472</v>
      </c>
      <c r="C171" s="1" t="s">
        <v>1473</v>
      </c>
      <c r="D171" s="1" t="s">
        <v>1476</v>
      </c>
      <c r="E171" s="1">
        <v>848.85676456099998</v>
      </c>
      <c r="G171" s="1"/>
    </row>
    <row r="172" spans="1:9">
      <c r="B172" s="1" t="s">
        <v>1472</v>
      </c>
      <c r="C172" s="1" t="s">
        <v>1473</v>
      </c>
      <c r="D172" s="1" t="s">
        <v>1477</v>
      </c>
      <c r="E172" s="1">
        <v>71.847922096900007</v>
      </c>
      <c r="G172" s="1"/>
    </row>
    <row r="173" spans="1:9">
      <c r="B173" s="1" t="s">
        <v>1472</v>
      </c>
      <c r="C173" s="1" t="s">
        <v>1473</v>
      </c>
      <c r="D173" s="1" t="s">
        <v>1478</v>
      </c>
      <c r="E173" s="1">
        <v>317.24721744499999</v>
      </c>
      <c r="G173" s="1"/>
    </row>
    <row r="174" spans="1:9">
      <c r="B174" s="1" t="s">
        <v>1472</v>
      </c>
      <c r="C174" s="1" t="s">
        <v>1473</v>
      </c>
      <c r="D174" s="1" t="s">
        <v>1479</v>
      </c>
      <c r="E174" s="1">
        <v>3042.6475270300002</v>
      </c>
      <c r="G174" s="1"/>
    </row>
    <row r="175" spans="1:9">
      <c r="B175" s="1" t="s">
        <v>1472</v>
      </c>
      <c r="C175" s="1" t="s">
        <v>1473</v>
      </c>
      <c r="D175" s="1" t="s">
        <v>1480</v>
      </c>
      <c r="E175" s="1">
        <v>229.727648007</v>
      </c>
      <c r="G175" s="1"/>
    </row>
    <row r="176" spans="1:9">
      <c r="B176" s="1" t="s">
        <v>1472</v>
      </c>
      <c r="C176" s="1" t="s">
        <v>1473</v>
      </c>
      <c r="D176" s="1" t="s">
        <v>1482</v>
      </c>
      <c r="E176" s="1">
        <v>2636.6878353299999</v>
      </c>
      <c r="G176" s="1"/>
    </row>
    <row r="177" spans="2:7">
      <c r="B177" s="1" t="s">
        <v>1472</v>
      </c>
      <c r="C177" s="1" t="s">
        <v>1473</v>
      </c>
      <c r="D177" s="1" t="s">
        <v>1502</v>
      </c>
      <c r="E177" s="1">
        <v>470222.04360999999</v>
      </c>
      <c r="G177" s="1"/>
    </row>
    <row r="178" spans="2:7">
      <c r="B178" s="1" t="s">
        <v>1472</v>
      </c>
      <c r="C178" s="1" t="s">
        <v>1473</v>
      </c>
      <c r="D178" s="1" t="s">
        <v>1503</v>
      </c>
      <c r="E178" s="1">
        <v>296693.10647300002</v>
      </c>
      <c r="G178" s="1"/>
    </row>
    <row r="179" spans="2:7">
      <c r="B179" s="1" t="s">
        <v>1472</v>
      </c>
      <c r="C179" s="1" t="s">
        <v>1473</v>
      </c>
      <c r="D179" s="1" t="s">
        <v>1504</v>
      </c>
      <c r="E179" s="1">
        <v>40957.822591600001</v>
      </c>
      <c r="G179" s="1"/>
    </row>
    <row r="180" spans="2:7">
      <c r="B180" s="1" t="s">
        <v>1472</v>
      </c>
      <c r="C180" s="1" t="s">
        <v>1473</v>
      </c>
      <c r="D180" s="1" t="s">
        <v>1505</v>
      </c>
      <c r="E180" s="1">
        <v>177390.557715</v>
      </c>
      <c r="G180" s="1"/>
    </row>
    <row r="181" spans="2:7">
      <c r="B181" s="1" t="s">
        <v>1472</v>
      </c>
      <c r="C181" s="1" t="s">
        <v>1473</v>
      </c>
      <c r="D181" s="1" t="s">
        <v>1506</v>
      </c>
      <c r="E181" s="1">
        <v>306819.252201</v>
      </c>
      <c r="G181" s="1"/>
    </row>
    <row r="182" spans="2:7">
      <c r="B182" s="1" t="s">
        <v>1472</v>
      </c>
      <c r="C182" s="1" t="s">
        <v>1473</v>
      </c>
      <c r="D182" s="1" t="s">
        <v>1507</v>
      </c>
      <c r="E182" s="1">
        <v>1272.3786892400001</v>
      </c>
      <c r="G182" s="1"/>
    </row>
    <row r="183" spans="2:7">
      <c r="B183" s="1" t="s">
        <v>1472</v>
      </c>
      <c r="C183" s="1" t="s">
        <v>1473</v>
      </c>
      <c r="D183" s="1" t="s">
        <v>1508</v>
      </c>
      <c r="E183" s="1">
        <v>1063188.99633</v>
      </c>
      <c r="G183" s="1"/>
    </row>
    <row r="184" spans="2:7">
      <c r="B184" s="1" t="s">
        <v>1472</v>
      </c>
      <c r="C184" s="1" t="s">
        <v>1473</v>
      </c>
      <c r="D184" s="1" t="s">
        <v>1509</v>
      </c>
      <c r="E184" s="1">
        <v>17323.376719700002</v>
      </c>
      <c r="G184" s="1"/>
    </row>
    <row r="185" spans="2:7">
      <c r="B185" s="1" t="s">
        <v>1472</v>
      </c>
      <c r="C185" s="1" t="s">
        <v>1473</v>
      </c>
      <c r="D185" s="1" t="s">
        <v>599</v>
      </c>
      <c r="E185" s="1">
        <v>193674.051106</v>
      </c>
      <c r="G185" s="1"/>
    </row>
    <row r="186" spans="2:7">
      <c r="B186" s="1" t="s">
        <v>1472</v>
      </c>
      <c r="C186" s="1" t="s">
        <v>1473</v>
      </c>
      <c r="D186" s="1" t="s">
        <v>1510</v>
      </c>
      <c r="E186" s="1">
        <v>7841.7878763899998</v>
      </c>
      <c r="G186" s="1"/>
    </row>
    <row r="187" spans="2:7">
      <c r="B187" s="1" t="s">
        <v>1472</v>
      </c>
      <c r="C187" s="1" t="s">
        <v>1473</v>
      </c>
      <c r="D187" s="1" t="s">
        <v>1511</v>
      </c>
      <c r="E187" s="1">
        <v>2502957.8382999999</v>
      </c>
      <c r="G187" s="1"/>
    </row>
    <row r="188" spans="2:7">
      <c r="B188" s="1" t="s">
        <v>1472</v>
      </c>
      <c r="C188" s="1" t="s">
        <v>1473</v>
      </c>
      <c r="D188" s="1" t="s">
        <v>1512</v>
      </c>
      <c r="E188" s="1">
        <v>102020.936873</v>
      </c>
      <c r="G188" s="1"/>
    </row>
    <row r="189" spans="2:7">
      <c r="B189" s="1" t="s">
        <v>1472</v>
      </c>
      <c r="C189" s="1" t="s">
        <v>1473</v>
      </c>
      <c r="D189" s="1" t="s">
        <v>1513</v>
      </c>
      <c r="E189" s="1">
        <v>206415.39264599999</v>
      </c>
      <c r="G189" s="1"/>
    </row>
    <row r="190" spans="2:7">
      <c r="B190" s="1" t="s">
        <v>1472</v>
      </c>
      <c r="C190" s="1" t="s">
        <v>1473</v>
      </c>
      <c r="D190" s="1" t="s">
        <v>1515</v>
      </c>
      <c r="E190" s="1">
        <v>2312038.48734</v>
      </c>
      <c r="G190" s="1"/>
    </row>
    <row r="191" spans="2:7">
      <c r="B191" s="1" t="s">
        <v>1472</v>
      </c>
      <c r="C191" s="1" t="s">
        <v>1473</v>
      </c>
      <c r="D191" s="1" t="s">
        <v>345</v>
      </c>
      <c r="E191" s="1">
        <v>5509291.3074899996</v>
      </c>
      <c r="G191" s="1"/>
    </row>
    <row r="192" spans="2:7">
      <c r="B192" s="1" t="s">
        <v>1472</v>
      </c>
      <c r="C192" s="1" t="s">
        <v>1473</v>
      </c>
      <c r="D192" s="1" t="s">
        <v>1516</v>
      </c>
      <c r="E192" s="1">
        <v>2949563.2265300001</v>
      </c>
      <c r="G192" s="1"/>
    </row>
    <row r="193" spans="2:7">
      <c r="B193" s="1" t="s">
        <v>1472</v>
      </c>
      <c r="C193" s="1" t="s">
        <v>1473</v>
      </c>
      <c r="D193" s="1" t="s">
        <v>427</v>
      </c>
      <c r="E193" s="1">
        <v>516864.51614700002</v>
      </c>
      <c r="G193" s="1"/>
    </row>
    <row r="194" spans="2:7">
      <c r="B194" s="1" t="s">
        <v>1472</v>
      </c>
      <c r="C194" s="1" t="s">
        <v>1473</v>
      </c>
      <c r="D194" s="1" t="s">
        <v>1517</v>
      </c>
      <c r="E194" s="1">
        <v>379230.48786599998</v>
      </c>
      <c r="G194" s="1"/>
    </row>
    <row r="195" spans="2:7">
      <c r="B195" s="1" t="s">
        <v>1472</v>
      </c>
      <c r="C195" s="1" t="s">
        <v>1473</v>
      </c>
      <c r="D195" s="1" t="s">
        <v>1519</v>
      </c>
      <c r="E195" s="1">
        <v>72906.383291499995</v>
      </c>
      <c r="G195" s="1"/>
    </row>
    <row r="196" spans="2:7">
      <c r="B196" s="1" t="s">
        <v>1472</v>
      </c>
      <c r="C196" s="1" t="s">
        <v>1473</v>
      </c>
      <c r="D196" s="1" t="s">
        <v>1520</v>
      </c>
      <c r="E196" s="1">
        <v>41204.001374599997</v>
      </c>
      <c r="G196" s="1"/>
    </row>
    <row r="197" spans="2:7">
      <c r="B197" s="1" t="s">
        <v>1472</v>
      </c>
      <c r="C197" s="1" t="s">
        <v>1473</v>
      </c>
      <c r="D197" s="1" t="s">
        <v>1521</v>
      </c>
      <c r="E197" s="1">
        <v>42480.888911100003</v>
      </c>
      <c r="G197" s="1"/>
    </row>
    <row r="198" spans="2:7">
      <c r="B198" s="1" t="s">
        <v>1472</v>
      </c>
      <c r="C198" s="1" t="s">
        <v>1473</v>
      </c>
      <c r="D198" s="1" t="s">
        <v>504</v>
      </c>
      <c r="E198" s="1">
        <v>202217.44639200001</v>
      </c>
      <c r="G198" s="1"/>
    </row>
    <row r="199" spans="2:7">
      <c r="B199" s="1" t="s">
        <v>1472</v>
      </c>
      <c r="C199" s="1" t="s">
        <v>1473</v>
      </c>
      <c r="D199" s="1" t="s">
        <v>480</v>
      </c>
      <c r="E199" s="1">
        <v>169976.50188600001</v>
      </c>
      <c r="G199" s="1"/>
    </row>
    <row r="200" spans="2:7">
      <c r="B200" s="1" t="s">
        <v>1472</v>
      </c>
      <c r="C200" s="1" t="s">
        <v>1473</v>
      </c>
      <c r="D200" s="1" t="s">
        <v>1485</v>
      </c>
      <c r="E200" s="1">
        <v>92786.372142599997</v>
      </c>
      <c r="G200" s="1"/>
    </row>
    <row r="201" spans="2:7">
      <c r="B201" s="1" t="s">
        <v>1472</v>
      </c>
      <c r="C201" s="1" t="s">
        <v>1473</v>
      </c>
      <c r="D201" s="1" t="s">
        <v>1486</v>
      </c>
      <c r="E201" s="1">
        <v>44749.403393400004</v>
      </c>
      <c r="G201" s="1"/>
    </row>
    <row r="202" spans="2:7">
      <c r="B202" s="1" t="s">
        <v>1472</v>
      </c>
      <c r="C202" s="1" t="s">
        <v>1473</v>
      </c>
      <c r="D202" s="1" t="s">
        <v>1487</v>
      </c>
      <c r="E202" s="1">
        <v>14403.4658382</v>
      </c>
      <c r="G202" s="1"/>
    </row>
    <row r="203" spans="2:7">
      <c r="B203" s="1" t="s">
        <v>1472</v>
      </c>
      <c r="C203" s="1" t="s">
        <v>1473</v>
      </c>
      <c r="D203" s="1" t="s">
        <v>1488</v>
      </c>
      <c r="E203" s="1">
        <v>19591.9003706</v>
      </c>
      <c r="G203" s="1"/>
    </row>
    <row r="204" spans="2:7">
      <c r="B204" s="1" t="s">
        <v>1472</v>
      </c>
      <c r="C204" s="1" t="s">
        <v>1473</v>
      </c>
      <c r="D204" s="1" t="s">
        <v>1489</v>
      </c>
      <c r="E204" s="1">
        <v>30120.005928400002</v>
      </c>
      <c r="G204" s="1"/>
    </row>
    <row r="205" spans="2:7">
      <c r="B205" s="1" t="s">
        <v>1472</v>
      </c>
      <c r="C205" s="1" t="s">
        <v>1473</v>
      </c>
      <c r="D205" s="1" t="s">
        <v>568</v>
      </c>
      <c r="E205" s="1">
        <v>139257.996556</v>
      </c>
      <c r="G205" s="1"/>
    </row>
    <row r="206" spans="2:7">
      <c r="B206" s="1" t="s">
        <v>1472</v>
      </c>
      <c r="C206" s="1" t="s">
        <v>1473</v>
      </c>
      <c r="D206" s="1" t="s">
        <v>1490</v>
      </c>
      <c r="E206" s="1">
        <v>1057.8992057</v>
      </c>
      <c r="G206" s="1"/>
    </row>
    <row r="207" spans="2:7">
      <c r="B207" s="1" t="s">
        <v>1472</v>
      </c>
      <c r="C207" s="1" t="s">
        <v>1473</v>
      </c>
      <c r="D207" s="1" t="s">
        <v>1492</v>
      </c>
      <c r="E207" s="1">
        <v>124217.511449</v>
      </c>
      <c r="G207" s="1"/>
    </row>
    <row r="208" spans="2:7">
      <c r="B208" s="1" t="s">
        <v>1472</v>
      </c>
      <c r="C208" s="1" t="s">
        <v>1473</v>
      </c>
      <c r="D208" s="1" t="s">
        <v>570</v>
      </c>
      <c r="E208" s="1">
        <v>396210.46682600002</v>
      </c>
      <c r="G208" s="1"/>
    </row>
    <row r="209" spans="2:7">
      <c r="B209" s="1" t="s">
        <v>1472</v>
      </c>
      <c r="C209" s="1" t="s">
        <v>1473</v>
      </c>
      <c r="D209" s="1" t="s">
        <v>1494</v>
      </c>
      <c r="E209" s="1">
        <v>54.740812708999997</v>
      </c>
      <c r="G209" s="1"/>
    </row>
    <row r="210" spans="2:7">
      <c r="B210" s="1" t="s">
        <v>1472</v>
      </c>
      <c r="C210" s="1" t="s">
        <v>1473</v>
      </c>
      <c r="D210" s="1" t="s">
        <v>1495</v>
      </c>
      <c r="E210" s="1">
        <v>126.870587046</v>
      </c>
      <c r="G210" s="1"/>
    </row>
    <row r="211" spans="2:7">
      <c r="B211" s="1" t="s">
        <v>1472</v>
      </c>
      <c r="C211" s="1" t="s">
        <v>1473</v>
      </c>
      <c r="D211" s="1" t="s">
        <v>1496</v>
      </c>
      <c r="E211" s="1">
        <v>0</v>
      </c>
      <c r="G211" s="1"/>
    </row>
    <row r="212" spans="2:7">
      <c r="B212" s="1" t="s">
        <v>1472</v>
      </c>
      <c r="C212" s="1" t="s">
        <v>1473</v>
      </c>
      <c r="D212" s="1" t="s">
        <v>1497</v>
      </c>
      <c r="E212" s="1">
        <v>49.993338937300003</v>
      </c>
      <c r="G212" s="1"/>
    </row>
    <row r="213" spans="2:7">
      <c r="B213" s="1" t="s">
        <v>1472</v>
      </c>
      <c r="C213" s="1" t="s">
        <v>1473</v>
      </c>
      <c r="D213" s="1" t="s">
        <v>455</v>
      </c>
      <c r="E213" s="1">
        <v>904182.26907299994</v>
      </c>
      <c r="G213" s="1"/>
    </row>
    <row r="214" spans="2:7">
      <c r="B214" s="1" t="s">
        <v>1472</v>
      </c>
      <c r="C214" s="1" t="s">
        <v>1473</v>
      </c>
      <c r="D214" s="1" t="s">
        <v>1498</v>
      </c>
      <c r="E214" s="1">
        <v>7824.9985584599999</v>
      </c>
      <c r="G214" s="1"/>
    </row>
    <row r="215" spans="2:7">
      <c r="B215" s="1" t="s">
        <v>1472</v>
      </c>
      <c r="C215" s="1" t="s">
        <v>1473</v>
      </c>
      <c r="D215" s="1" t="s">
        <v>1499</v>
      </c>
      <c r="E215" s="1">
        <v>86537.680577100007</v>
      </c>
      <c r="G215" s="1"/>
    </row>
    <row r="216" spans="2:7">
      <c r="B216" s="1" t="s">
        <v>1472</v>
      </c>
      <c r="C216" s="1" t="s">
        <v>1473</v>
      </c>
      <c r="D216" s="1" t="s">
        <v>1500</v>
      </c>
      <c r="E216" s="1">
        <v>425645.89232599997</v>
      </c>
      <c r="G216" s="1"/>
    </row>
    <row r="217" spans="2:7">
      <c r="B217" s="1" t="s">
        <v>1472</v>
      </c>
      <c r="C217" s="1" t="s">
        <v>1473</v>
      </c>
      <c r="D217" s="1" t="s">
        <v>1501</v>
      </c>
      <c r="E217" s="1">
        <v>3508323.5235799998</v>
      </c>
      <c r="G217" s="1"/>
    </row>
    <row r="218" spans="2:7">
      <c r="B218" s="1" t="s">
        <v>1472</v>
      </c>
      <c r="C218" s="1" t="s">
        <v>1473</v>
      </c>
      <c r="D218" s="1" t="s">
        <v>1522</v>
      </c>
      <c r="E218" s="1">
        <v>63259.666244599997</v>
      </c>
      <c r="G218" s="1"/>
    </row>
    <row r="219" spans="2:7">
      <c r="B219" s="1" t="s">
        <v>1472</v>
      </c>
      <c r="C219" s="1" t="s">
        <v>1473</v>
      </c>
      <c r="D219" s="1" t="s">
        <v>1523</v>
      </c>
      <c r="E219" s="1">
        <v>20685.8948323</v>
      </c>
      <c r="G219" s="1"/>
    </row>
    <row r="220" spans="2:7">
      <c r="B220" s="1" t="s">
        <v>1472</v>
      </c>
      <c r="C220" s="1" t="s">
        <v>1473</v>
      </c>
      <c r="D220" s="1" t="s">
        <v>1525</v>
      </c>
      <c r="E220" s="1">
        <v>961967.92160899995</v>
      </c>
      <c r="G220" s="1"/>
    </row>
    <row r="221" spans="2:7">
      <c r="B221" s="1" t="s">
        <v>1472</v>
      </c>
      <c r="C221" s="1" t="s">
        <v>1473</v>
      </c>
      <c r="D221" s="1" t="s">
        <v>1599</v>
      </c>
      <c r="E221" s="1">
        <v>3496.2209208099998</v>
      </c>
      <c r="G221" s="1"/>
    </row>
    <row r="222" spans="2:7">
      <c r="B222" s="1" t="s">
        <v>1472</v>
      </c>
      <c r="C222" s="1" t="s">
        <v>1473</v>
      </c>
      <c r="D222" s="1" t="s">
        <v>1600</v>
      </c>
      <c r="E222" s="1">
        <v>5970.1719652100001</v>
      </c>
      <c r="G222" s="1"/>
    </row>
    <row r="223" spans="2:7">
      <c r="B223" s="1" t="s">
        <v>1472</v>
      </c>
      <c r="C223" s="1" t="s">
        <v>1473</v>
      </c>
      <c r="D223" s="1" t="s">
        <v>1601</v>
      </c>
      <c r="E223" s="1">
        <v>5104.5453871</v>
      </c>
      <c r="G223" s="1"/>
    </row>
    <row r="224" spans="2:7">
      <c r="B224" s="1" t="s">
        <v>1472</v>
      </c>
      <c r="C224" s="1" t="s">
        <v>1473</v>
      </c>
      <c r="D224" s="1" t="s">
        <v>1602</v>
      </c>
      <c r="E224" s="1">
        <v>328520.612845</v>
      </c>
      <c r="G224" s="1"/>
    </row>
    <row r="225" spans="2:7">
      <c r="B225" s="1" t="s">
        <v>1472</v>
      </c>
      <c r="C225" s="1" t="s">
        <v>1473</v>
      </c>
      <c r="D225" s="1" t="s">
        <v>1603</v>
      </c>
      <c r="E225" s="1">
        <v>180.07886540300001</v>
      </c>
      <c r="G225" s="1"/>
    </row>
    <row r="226" spans="2:7">
      <c r="B226" s="1" t="s">
        <v>1472</v>
      </c>
      <c r="C226" s="1" t="s">
        <v>1473</v>
      </c>
      <c r="D226" s="1" t="s">
        <v>1604</v>
      </c>
      <c r="E226" s="1">
        <v>782.82030670500001</v>
      </c>
      <c r="G226" s="1"/>
    </row>
    <row r="227" spans="2:7">
      <c r="B227" s="1" t="s">
        <v>1472</v>
      </c>
      <c r="C227" s="1" t="s">
        <v>1473</v>
      </c>
      <c r="D227" s="1" t="s">
        <v>1540</v>
      </c>
      <c r="E227" s="1">
        <v>18023.214181399999</v>
      </c>
      <c r="G227" s="1"/>
    </row>
    <row r="228" spans="2:7">
      <c r="B228" s="1" t="s">
        <v>1472</v>
      </c>
      <c r="C228" s="1" t="s">
        <v>1473</v>
      </c>
      <c r="D228" s="1" t="s">
        <v>330</v>
      </c>
      <c r="E228" s="1">
        <v>2378507.8007100001</v>
      </c>
      <c r="G228" s="1"/>
    </row>
    <row r="229" spans="2:7">
      <c r="B229" s="1" t="s">
        <v>1472</v>
      </c>
      <c r="C229" s="1" t="s">
        <v>1473</v>
      </c>
      <c r="D229" s="1" t="s">
        <v>1541</v>
      </c>
      <c r="E229" s="1">
        <v>0</v>
      </c>
      <c r="G229" s="1"/>
    </row>
    <row r="230" spans="2:7">
      <c r="B230" s="1" t="s">
        <v>1472</v>
      </c>
      <c r="C230" s="1" t="s">
        <v>1473</v>
      </c>
      <c r="D230" s="1" t="s">
        <v>1543</v>
      </c>
      <c r="E230" s="1">
        <v>2.1164173637900001</v>
      </c>
      <c r="G230" s="1"/>
    </row>
    <row r="231" spans="2:7">
      <c r="B231" s="1" t="s">
        <v>1472</v>
      </c>
      <c r="C231" s="1" t="s">
        <v>1473</v>
      </c>
      <c r="D231" s="1" t="s">
        <v>1544</v>
      </c>
      <c r="E231" s="1">
        <v>8.7587484001100009</v>
      </c>
      <c r="G231" s="1"/>
    </row>
    <row r="232" spans="2:7">
      <c r="B232" s="1" t="s">
        <v>1472</v>
      </c>
      <c r="C232" s="1" t="s">
        <v>1473</v>
      </c>
      <c r="D232" s="1" t="s">
        <v>1545</v>
      </c>
      <c r="E232" s="1">
        <v>0</v>
      </c>
      <c r="G232" s="1"/>
    </row>
    <row r="233" spans="2:7">
      <c r="B233" s="1" t="s">
        <v>1472</v>
      </c>
      <c r="C233" s="1" t="s">
        <v>1473</v>
      </c>
      <c r="D233" s="1" t="s">
        <v>1546</v>
      </c>
      <c r="E233" s="1">
        <v>5252305.9707300002</v>
      </c>
      <c r="G233" s="1"/>
    </row>
    <row r="234" spans="2:7">
      <c r="B234" s="1" t="s">
        <v>1472</v>
      </c>
      <c r="C234" s="1" t="s">
        <v>1473</v>
      </c>
      <c r="D234" s="1" t="s">
        <v>1547</v>
      </c>
      <c r="E234" s="1">
        <v>41025.103690900003</v>
      </c>
      <c r="G234" s="1"/>
    </row>
    <row r="235" spans="2:7">
      <c r="B235" s="1" t="s">
        <v>1472</v>
      </c>
      <c r="C235" s="1" t="s">
        <v>1473</v>
      </c>
      <c r="D235" s="1" t="s">
        <v>1548</v>
      </c>
      <c r="E235" s="1">
        <v>895.23058910700001</v>
      </c>
      <c r="G235" s="1"/>
    </row>
    <row r="236" spans="2:7">
      <c r="B236" s="1" t="s">
        <v>1472</v>
      </c>
      <c r="C236" s="1" t="s">
        <v>1473</v>
      </c>
      <c r="D236" s="1" t="s">
        <v>594</v>
      </c>
      <c r="E236" s="1">
        <v>219269.62723700001</v>
      </c>
      <c r="G236" s="1"/>
    </row>
    <row r="237" spans="2:7">
      <c r="B237" s="1" t="s">
        <v>1472</v>
      </c>
      <c r="C237" s="1" t="s">
        <v>1473</v>
      </c>
      <c r="D237" s="1" t="s">
        <v>1549</v>
      </c>
      <c r="E237" s="1">
        <v>315.23065763900001</v>
      </c>
      <c r="G237" s="1"/>
    </row>
    <row r="238" spans="2:7">
      <c r="B238" s="1" t="s">
        <v>1472</v>
      </c>
      <c r="C238" s="1" t="s">
        <v>1473</v>
      </c>
      <c r="D238" s="1" t="s">
        <v>608</v>
      </c>
      <c r="E238" s="1">
        <v>11636.5248008</v>
      </c>
      <c r="G238" s="1"/>
    </row>
    <row r="239" spans="2:7">
      <c r="B239" s="1" t="s">
        <v>1472</v>
      </c>
      <c r="C239" s="1" t="s">
        <v>1473</v>
      </c>
      <c r="D239" s="1" t="s">
        <v>1550</v>
      </c>
      <c r="E239" s="1">
        <v>23317.417947400001</v>
      </c>
      <c r="G239" s="1"/>
    </row>
    <row r="240" spans="2:7">
      <c r="B240" s="1" t="s">
        <v>1472</v>
      </c>
      <c r="C240" s="1" t="s">
        <v>1473</v>
      </c>
      <c r="D240" s="1" t="s">
        <v>1551</v>
      </c>
      <c r="E240" s="1">
        <v>23.328497780300001</v>
      </c>
      <c r="G240" s="1"/>
    </row>
    <row r="241" spans="2:7">
      <c r="B241" s="1" t="s">
        <v>1472</v>
      </c>
      <c r="C241" s="1" t="s">
        <v>1473</v>
      </c>
      <c r="D241" s="1" t="s">
        <v>1552</v>
      </c>
      <c r="E241" s="1">
        <v>2.0850094392999998</v>
      </c>
      <c r="G241" s="1"/>
    </row>
    <row r="242" spans="2:7">
      <c r="B242" s="1" t="s">
        <v>1472</v>
      </c>
      <c r="C242" s="1" t="s">
        <v>1473</v>
      </c>
      <c r="D242" s="1" t="s">
        <v>1554</v>
      </c>
      <c r="E242" s="1">
        <v>2752283.6559899999</v>
      </c>
      <c r="G242" s="1"/>
    </row>
    <row r="243" spans="2:7">
      <c r="B243" s="1" t="s">
        <v>1472</v>
      </c>
      <c r="C243" s="1" t="s">
        <v>1473</v>
      </c>
      <c r="D243" s="1" t="s">
        <v>1555</v>
      </c>
      <c r="E243" s="1">
        <v>615151.156724</v>
      </c>
      <c r="G243" s="1"/>
    </row>
    <row r="244" spans="2:7">
      <c r="B244" s="1" t="s">
        <v>1472</v>
      </c>
      <c r="C244" s="1" t="s">
        <v>1473</v>
      </c>
      <c r="D244" s="1" t="s">
        <v>1556</v>
      </c>
      <c r="E244" s="1">
        <v>49660.606711599998</v>
      </c>
      <c r="G244" s="1"/>
    </row>
    <row r="245" spans="2:7">
      <c r="B245" s="1" t="s">
        <v>1472</v>
      </c>
      <c r="C245" s="1" t="s">
        <v>1473</v>
      </c>
      <c r="D245" s="1" t="s">
        <v>1557</v>
      </c>
      <c r="E245" s="1">
        <v>110420.018121</v>
      </c>
      <c r="G245" s="1"/>
    </row>
    <row r="246" spans="2:7">
      <c r="B246" s="1" t="s">
        <v>1472</v>
      </c>
      <c r="C246" s="1" t="s">
        <v>1473</v>
      </c>
      <c r="D246" s="1" t="s">
        <v>591</v>
      </c>
      <c r="E246" s="1">
        <v>43092.342758400002</v>
      </c>
      <c r="G246" s="1"/>
    </row>
    <row r="247" spans="2:7">
      <c r="B247" s="1" t="s">
        <v>1472</v>
      </c>
      <c r="C247" s="1" t="s">
        <v>1473</v>
      </c>
      <c r="D247" s="1" t="s">
        <v>1558</v>
      </c>
      <c r="E247" s="1">
        <v>368334.67443299998</v>
      </c>
      <c r="G247" s="1"/>
    </row>
    <row r="248" spans="2:7">
      <c r="B248" s="1" t="s">
        <v>1472</v>
      </c>
      <c r="C248" s="1" t="s">
        <v>1473</v>
      </c>
      <c r="D248" s="1" t="s">
        <v>529</v>
      </c>
      <c r="E248" s="1">
        <v>2852.4962150900001</v>
      </c>
      <c r="G248" s="1"/>
    </row>
    <row r="249" spans="2:7">
      <c r="B249" s="1" t="s">
        <v>1472</v>
      </c>
      <c r="C249" s="1" t="s">
        <v>1473</v>
      </c>
      <c r="D249" s="1" t="s">
        <v>538</v>
      </c>
      <c r="E249" s="1">
        <v>249.35034288099999</v>
      </c>
      <c r="G249" s="1"/>
    </row>
    <row r="250" spans="2:7">
      <c r="B250" s="1" t="s">
        <v>1472</v>
      </c>
      <c r="C250" s="1" t="s">
        <v>1473</v>
      </c>
      <c r="D250" s="1" t="s">
        <v>554</v>
      </c>
      <c r="E250" s="1">
        <v>48452.194237000003</v>
      </c>
      <c r="G250" s="1"/>
    </row>
    <row r="251" spans="2:7">
      <c r="B251" s="1" t="s">
        <v>1472</v>
      </c>
      <c r="C251" s="1" t="s">
        <v>1473</v>
      </c>
      <c r="D251" s="1" t="s">
        <v>1559</v>
      </c>
      <c r="E251" s="1">
        <v>1808.7662222700001</v>
      </c>
      <c r="G251" s="1"/>
    </row>
    <row r="252" spans="2:7">
      <c r="B252" s="1" t="s">
        <v>1472</v>
      </c>
      <c r="C252" s="1" t="s">
        <v>1473</v>
      </c>
      <c r="D252" s="1" t="s">
        <v>1560</v>
      </c>
      <c r="E252" s="1">
        <v>51.203177708200002</v>
      </c>
      <c r="G252" s="1"/>
    </row>
    <row r="253" spans="2:7">
      <c r="B253" s="1" t="s">
        <v>1472</v>
      </c>
      <c r="C253" s="1" t="s">
        <v>1473</v>
      </c>
      <c r="D253" s="1" t="s">
        <v>589</v>
      </c>
      <c r="E253" s="1">
        <v>19358.7575044</v>
      </c>
      <c r="G253" s="1"/>
    </row>
    <row r="254" spans="2:7">
      <c r="B254" s="1" t="s">
        <v>1472</v>
      </c>
      <c r="C254" s="1" t="s">
        <v>1473</v>
      </c>
      <c r="D254" s="1" t="s">
        <v>1561</v>
      </c>
      <c r="E254" s="1">
        <v>4737.8065800300001</v>
      </c>
      <c r="G254" s="1"/>
    </row>
    <row r="255" spans="2:7">
      <c r="B255" s="1" t="s">
        <v>1472</v>
      </c>
      <c r="C255" s="1" t="s">
        <v>1473</v>
      </c>
      <c r="D255" s="1" t="s">
        <v>1562</v>
      </c>
      <c r="E255" s="1">
        <v>1822655.7324900001</v>
      </c>
      <c r="G255" s="1"/>
    </row>
    <row r="256" spans="2:7">
      <c r="B256" s="1" t="s">
        <v>1472</v>
      </c>
      <c r="C256" s="1" t="s">
        <v>1473</v>
      </c>
      <c r="D256" s="1" t="s">
        <v>1563</v>
      </c>
      <c r="E256" s="1">
        <v>29671.1452771</v>
      </c>
      <c r="G256" s="1"/>
    </row>
    <row r="257" spans="2:7">
      <c r="B257" s="1" t="s">
        <v>1472</v>
      </c>
      <c r="C257" s="1" t="s">
        <v>1473</v>
      </c>
      <c r="D257" s="1" t="s">
        <v>1564</v>
      </c>
      <c r="E257" s="1">
        <v>6617.2549813599999</v>
      </c>
      <c r="G257" s="1"/>
    </row>
    <row r="258" spans="2:7">
      <c r="B258" s="1" t="s">
        <v>1472</v>
      </c>
      <c r="C258" s="1" t="s">
        <v>1473</v>
      </c>
      <c r="D258" s="1" t="s">
        <v>462</v>
      </c>
      <c r="E258" s="1">
        <v>124765.791872</v>
      </c>
      <c r="G258" s="1"/>
    </row>
    <row r="259" spans="2:7">
      <c r="B259" s="1" t="s">
        <v>1472</v>
      </c>
      <c r="C259" s="1" t="s">
        <v>1473</v>
      </c>
      <c r="D259" s="1" t="s">
        <v>1565</v>
      </c>
      <c r="E259" s="1">
        <v>974.46903808499997</v>
      </c>
      <c r="G259" s="1"/>
    </row>
    <row r="260" spans="2:7">
      <c r="B260" s="1" t="s">
        <v>1472</v>
      </c>
      <c r="C260" s="1" t="s">
        <v>1473</v>
      </c>
      <c r="D260" s="1" t="s">
        <v>404</v>
      </c>
      <c r="E260" s="1">
        <v>4256639.9175300002</v>
      </c>
      <c r="G260" s="1"/>
    </row>
    <row r="261" spans="2:7">
      <c r="B261" s="1" t="s">
        <v>1472</v>
      </c>
      <c r="C261" s="1" t="s">
        <v>1473</v>
      </c>
      <c r="D261" s="1" t="s">
        <v>1566</v>
      </c>
      <c r="E261" s="1">
        <v>7340266.9232299998</v>
      </c>
      <c r="G261" s="1"/>
    </row>
    <row r="262" spans="2:7">
      <c r="B262" s="1" t="s">
        <v>1472</v>
      </c>
      <c r="C262" s="1" t="s">
        <v>1473</v>
      </c>
      <c r="D262" s="1" t="s">
        <v>1567</v>
      </c>
      <c r="E262" s="1">
        <v>180.37986654700001</v>
      </c>
      <c r="G262" s="1"/>
    </row>
    <row r="263" spans="2:7">
      <c r="B263" s="1" t="s">
        <v>1472</v>
      </c>
      <c r="C263" s="1" t="s">
        <v>1473</v>
      </c>
      <c r="D263" s="1" t="s">
        <v>1568</v>
      </c>
      <c r="E263" s="1">
        <v>169.917452572</v>
      </c>
      <c r="G263" s="1"/>
    </row>
    <row r="264" spans="2:7">
      <c r="B264" s="1" t="s">
        <v>1472</v>
      </c>
      <c r="C264" s="1" t="s">
        <v>1473</v>
      </c>
      <c r="D264" s="1" t="s">
        <v>471</v>
      </c>
      <c r="E264" s="1">
        <v>32752.580426699998</v>
      </c>
      <c r="G264" s="1"/>
    </row>
    <row r="265" spans="2:7">
      <c r="B265" s="1" t="s">
        <v>1472</v>
      </c>
      <c r="C265" s="1" t="s">
        <v>1473</v>
      </c>
      <c r="D265" s="1" t="s">
        <v>493</v>
      </c>
      <c r="E265" s="1">
        <v>213202.97149600001</v>
      </c>
      <c r="G265" s="1"/>
    </row>
    <row r="266" spans="2:7">
      <c r="B266" s="1" t="s">
        <v>1472</v>
      </c>
      <c r="C266" s="1" t="s">
        <v>1473</v>
      </c>
      <c r="D266" s="1" t="s">
        <v>395</v>
      </c>
      <c r="E266" s="1">
        <v>84558.829329600005</v>
      </c>
      <c r="G266" s="1"/>
    </row>
    <row r="267" spans="2:7">
      <c r="B267" s="1" t="s">
        <v>1472</v>
      </c>
      <c r="C267" s="1" t="s">
        <v>1473</v>
      </c>
      <c r="D267" s="1" t="s">
        <v>1570</v>
      </c>
      <c r="E267" s="1">
        <v>1348.78093367</v>
      </c>
      <c r="G267" s="1"/>
    </row>
    <row r="268" spans="2:7">
      <c r="B268" s="1" t="s">
        <v>1472</v>
      </c>
      <c r="C268" s="1" t="s">
        <v>1473</v>
      </c>
      <c r="D268" s="1" t="s">
        <v>1571</v>
      </c>
      <c r="E268" s="1">
        <v>5953.0100846900004</v>
      </c>
      <c r="G268" s="1"/>
    </row>
    <row r="269" spans="2:7">
      <c r="B269" s="1" t="s">
        <v>1472</v>
      </c>
      <c r="C269" s="1" t="s">
        <v>1473</v>
      </c>
      <c r="D269" s="1" t="s">
        <v>1572</v>
      </c>
      <c r="E269" s="1">
        <v>97028.331931299996</v>
      </c>
      <c r="G269" s="1"/>
    </row>
    <row r="270" spans="2:7">
      <c r="B270" s="1" t="s">
        <v>1472</v>
      </c>
      <c r="C270" s="1" t="s">
        <v>1473</v>
      </c>
      <c r="D270" s="1" t="s">
        <v>1573</v>
      </c>
      <c r="E270" s="1">
        <v>486431.67561899999</v>
      </c>
      <c r="G270" s="1"/>
    </row>
    <row r="271" spans="2:7">
      <c r="B271" s="1" t="s">
        <v>1472</v>
      </c>
      <c r="C271" s="1" t="s">
        <v>1473</v>
      </c>
      <c r="D271" s="1" t="s">
        <v>1574</v>
      </c>
      <c r="E271" s="1">
        <v>4136.5505843399997</v>
      </c>
      <c r="G271" s="1"/>
    </row>
    <row r="272" spans="2:7">
      <c r="B272" s="1" t="s">
        <v>1472</v>
      </c>
      <c r="C272" s="1" t="s">
        <v>1473</v>
      </c>
      <c r="D272" s="1" t="s">
        <v>422</v>
      </c>
      <c r="E272" s="1">
        <v>561.47904834500002</v>
      </c>
      <c r="G272" s="1"/>
    </row>
    <row r="273" spans="2:7">
      <c r="B273" s="1" t="s">
        <v>1472</v>
      </c>
      <c r="C273" s="1" t="s">
        <v>1473</v>
      </c>
      <c r="D273" s="1" t="s">
        <v>1624</v>
      </c>
      <c r="E273" s="1">
        <v>181.73501573999999</v>
      </c>
      <c r="G273" s="1"/>
    </row>
    <row r="274" spans="2:7">
      <c r="B274" s="1" t="s">
        <v>1472</v>
      </c>
      <c r="C274" s="1" t="s">
        <v>1473</v>
      </c>
      <c r="D274" s="1" t="s">
        <v>1625</v>
      </c>
      <c r="E274" s="1">
        <v>246.955776015</v>
      </c>
      <c r="G274" s="1"/>
    </row>
    <row r="275" spans="2:7">
      <c r="B275" s="1" t="s">
        <v>1472</v>
      </c>
      <c r="C275" s="1" t="s">
        <v>1473</v>
      </c>
      <c r="D275" s="1" t="s">
        <v>1626</v>
      </c>
      <c r="E275" s="1">
        <v>95.4313250732</v>
      </c>
      <c r="G275" s="1"/>
    </row>
    <row r="276" spans="2:7">
      <c r="B276" s="1" t="s">
        <v>1472</v>
      </c>
      <c r="C276" s="1" t="s">
        <v>1473</v>
      </c>
      <c r="D276" s="1" t="s">
        <v>1627</v>
      </c>
      <c r="E276" s="1">
        <v>596.06272733599997</v>
      </c>
      <c r="G276" s="1"/>
    </row>
    <row r="277" spans="2:7">
      <c r="B277" s="1" t="s">
        <v>1472</v>
      </c>
      <c r="C277" s="1" t="s">
        <v>1473</v>
      </c>
      <c r="D277" s="1" t="s">
        <v>1628</v>
      </c>
      <c r="E277" s="1">
        <v>624.00779202199999</v>
      </c>
      <c r="G277" s="1"/>
    </row>
    <row r="278" spans="2:7">
      <c r="B278" s="1" t="s">
        <v>1472</v>
      </c>
      <c r="C278" s="1" t="s">
        <v>1473</v>
      </c>
      <c r="D278" s="1" t="s">
        <v>611</v>
      </c>
      <c r="E278" s="1">
        <v>12190.0060644</v>
      </c>
      <c r="G278" s="1"/>
    </row>
    <row r="279" spans="2:7">
      <c r="B279" s="1" t="s">
        <v>1472</v>
      </c>
      <c r="C279" s="1" t="s">
        <v>1473</v>
      </c>
      <c r="D279" s="1" t="s">
        <v>400</v>
      </c>
      <c r="E279" s="1">
        <v>6161.5403906000001</v>
      </c>
      <c r="G279" s="1"/>
    </row>
    <row r="280" spans="2:7">
      <c r="B280" s="1" t="s">
        <v>1472</v>
      </c>
      <c r="C280" s="1" t="s">
        <v>1473</v>
      </c>
      <c r="D280" s="1" t="s">
        <v>1629</v>
      </c>
      <c r="E280" s="1">
        <v>953.77538857000002</v>
      </c>
      <c r="G280" s="1"/>
    </row>
    <row r="281" spans="2:7">
      <c r="B281" s="1" t="s">
        <v>1472</v>
      </c>
      <c r="C281" s="1" t="s">
        <v>1473</v>
      </c>
      <c r="D281" s="1" t="s">
        <v>1630</v>
      </c>
      <c r="E281" s="1">
        <v>8849.3564900599995</v>
      </c>
      <c r="G281" s="1"/>
    </row>
    <row r="282" spans="2:7">
      <c r="B282" s="1" t="s">
        <v>1472</v>
      </c>
      <c r="C282" s="1" t="s">
        <v>1473</v>
      </c>
      <c r="D282" s="1" t="s">
        <v>614</v>
      </c>
      <c r="E282" s="1">
        <v>1773.7102306899999</v>
      </c>
      <c r="G282" s="1"/>
    </row>
    <row r="283" spans="2:7">
      <c r="B283" s="1" t="s">
        <v>1472</v>
      </c>
      <c r="C283" s="1" t="s">
        <v>1473</v>
      </c>
      <c r="D283" s="1" t="s">
        <v>1631</v>
      </c>
      <c r="E283" s="1">
        <v>1039.05607644</v>
      </c>
      <c r="G283" s="1"/>
    </row>
    <row r="284" spans="2:7">
      <c r="B284" s="1" t="s">
        <v>1472</v>
      </c>
      <c r="C284" s="1" t="s">
        <v>1473</v>
      </c>
      <c r="D284" s="1" t="s">
        <v>1632</v>
      </c>
      <c r="E284" s="1">
        <v>521.03031854699998</v>
      </c>
      <c r="G284" s="1"/>
    </row>
    <row r="285" spans="2:7">
      <c r="B285" s="1" t="s">
        <v>1472</v>
      </c>
      <c r="C285" s="1" t="s">
        <v>1473</v>
      </c>
      <c r="D285" s="1" t="s">
        <v>1633</v>
      </c>
      <c r="E285" s="1">
        <v>180.652414806</v>
      </c>
      <c r="G285" s="1"/>
    </row>
    <row r="286" spans="2:7">
      <c r="B286" s="1" t="s">
        <v>1472</v>
      </c>
      <c r="C286" s="1" t="s">
        <v>1473</v>
      </c>
      <c r="D286" s="1" t="s">
        <v>1634</v>
      </c>
      <c r="E286" s="1">
        <v>86.523831494000007</v>
      </c>
      <c r="G286" s="1"/>
    </row>
    <row r="287" spans="2:7">
      <c r="B287" s="1" t="s">
        <v>1472</v>
      </c>
      <c r="C287" s="1" t="s">
        <v>1473</v>
      </c>
      <c r="D287" s="1" t="s">
        <v>1635</v>
      </c>
      <c r="E287" s="1">
        <v>185.82303721599999</v>
      </c>
      <c r="G287" s="1"/>
    </row>
    <row r="288" spans="2:7">
      <c r="B288" s="1" t="s">
        <v>1472</v>
      </c>
      <c r="C288" s="1" t="s">
        <v>1473</v>
      </c>
      <c r="D288" s="1" t="s">
        <v>1636</v>
      </c>
      <c r="E288" s="1">
        <v>270.59017477100002</v>
      </c>
      <c r="G288" s="1"/>
    </row>
    <row r="289" spans="2:7">
      <c r="B289" s="1" t="s">
        <v>1472</v>
      </c>
      <c r="C289" s="1" t="s">
        <v>1473</v>
      </c>
      <c r="D289" s="1" t="s">
        <v>1638</v>
      </c>
      <c r="E289" s="1">
        <v>1546.8823197700001</v>
      </c>
      <c r="G289" s="1"/>
    </row>
    <row r="290" spans="2:7">
      <c r="B290" s="1" t="s">
        <v>1472</v>
      </c>
      <c r="C290" s="1" t="s">
        <v>1473</v>
      </c>
      <c r="D290" s="1" t="s">
        <v>1639</v>
      </c>
      <c r="E290" s="1">
        <v>132.65864942499999</v>
      </c>
      <c r="G290" s="1"/>
    </row>
    <row r="291" spans="2:7">
      <c r="B291" s="1" t="s">
        <v>1472</v>
      </c>
      <c r="C291" s="1" t="s">
        <v>1473</v>
      </c>
      <c r="D291" s="1" t="s">
        <v>1640</v>
      </c>
      <c r="E291" s="1">
        <v>2067.8081914899999</v>
      </c>
      <c r="G291" s="1"/>
    </row>
    <row r="292" spans="2:7">
      <c r="B292" s="1" t="s">
        <v>1472</v>
      </c>
      <c r="C292" s="1" t="s">
        <v>1473</v>
      </c>
      <c r="D292" s="1" t="s">
        <v>1641</v>
      </c>
      <c r="E292" s="1">
        <v>1528.4363487400001</v>
      </c>
      <c r="G292" s="1"/>
    </row>
    <row r="293" spans="2:7">
      <c r="B293" s="1" t="s">
        <v>1472</v>
      </c>
      <c r="C293" s="1" t="s">
        <v>1473</v>
      </c>
      <c r="D293" s="1" t="s">
        <v>1642</v>
      </c>
      <c r="E293" s="1">
        <v>573.30033750400003</v>
      </c>
      <c r="G293" s="1"/>
    </row>
    <row r="294" spans="2:7">
      <c r="B294" s="1" t="s">
        <v>1472</v>
      </c>
      <c r="C294" s="1" t="s">
        <v>1473</v>
      </c>
      <c r="D294" s="1" t="s">
        <v>1643</v>
      </c>
      <c r="E294" s="1">
        <v>1196695.98936</v>
      </c>
      <c r="G294" s="1"/>
    </row>
    <row r="295" spans="2:7">
      <c r="B295" s="1" t="s">
        <v>1472</v>
      </c>
      <c r="C295" s="1" t="s">
        <v>1473</v>
      </c>
      <c r="D295" s="1" t="s">
        <v>1644</v>
      </c>
      <c r="E295" s="1">
        <v>136108.836117</v>
      </c>
      <c r="G295" s="1"/>
    </row>
    <row r="296" spans="2:7">
      <c r="B296" s="1" t="s">
        <v>1472</v>
      </c>
      <c r="C296" s="1" t="s">
        <v>1473</v>
      </c>
      <c r="D296" s="1" t="s">
        <v>1646</v>
      </c>
      <c r="E296" s="1">
        <v>1437.11309955</v>
      </c>
      <c r="G296" s="1"/>
    </row>
    <row r="297" spans="2:7">
      <c r="B297" s="1" t="s">
        <v>1472</v>
      </c>
      <c r="C297" s="1" t="s">
        <v>1473</v>
      </c>
      <c r="D297" s="1" t="s">
        <v>1606</v>
      </c>
      <c r="E297" s="1">
        <v>620452.16057099996</v>
      </c>
      <c r="G297" s="1"/>
    </row>
    <row r="298" spans="2:7">
      <c r="B298" s="1" t="s">
        <v>1472</v>
      </c>
      <c r="C298" s="1" t="s">
        <v>1473</v>
      </c>
      <c r="D298" s="1" t="s">
        <v>1607</v>
      </c>
      <c r="E298" s="1">
        <v>1582227.81859</v>
      </c>
      <c r="G298" s="1"/>
    </row>
    <row r="299" spans="2:7">
      <c r="B299" s="1" t="s">
        <v>1472</v>
      </c>
      <c r="C299" s="1" t="s">
        <v>1473</v>
      </c>
      <c r="D299" s="1" t="s">
        <v>1608</v>
      </c>
      <c r="E299" s="1">
        <v>0</v>
      </c>
      <c r="G299" s="1"/>
    </row>
    <row r="300" spans="2:7">
      <c r="B300" s="1" t="s">
        <v>1472</v>
      </c>
      <c r="C300" s="1" t="s">
        <v>1473</v>
      </c>
      <c r="D300" s="1" t="s">
        <v>1609</v>
      </c>
      <c r="E300" s="1">
        <v>408537.19868899998</v>
      </c>
      <c r="G300" s="1"/>
    </row>
    <row r="301" spans="2:7">
      <c r="B301" s="1" t="s">
        <v>1472</v>
      </c>
      <c r="C301" s="1" t="s">
        <v>1473</v>
      </c>
      <c r="D301" s="1" t="s">
        <v>556</v>
      </c>
      <c r="E301" s="1">
        <v>8278.3716438800002</v>
      </c>
      <c r="G301" s="1"/>
    </row>
    <row r="302" spans="2:7">
      <c r="B302" s="1" t="s">
        <v>1472</v>
      </c>
      <c r="C302" s="1" t="s">
        <v>1473</v>
      </c>
      <c r="D302" s="1" t="s">
        <v>431</v>
      </c>
      <c r="E302" s="1">
        <v>30146.068535400002</v>
      </c>
      <c r="G302" s="1"/>
    </row>
    <row r="303" spans="2:7">
      <c r="B303" s="1" t="s">
        <v>1472</v>
      </c>
      <c r="C303" s="1" t="s">
        <v>1473</v>
      </c>
      <c r="D303" s="1" t="s">
        <v>527</v>
      </c>
      <c r="E303" s="1">
        <v>26175.682045000001</v>
      </c>
      <c r="G303" s="1"/>
    </row>
    <row r="304" spans="2:7">
      <c r="B304" s="1" t="s">
        <v>1472</v>
      </c>
      <c r="C304" s="1" t="s">
        <v>1473</v>
      </c>
      <c r="D304" s="1" t="s">
        <v>1610</v>
      </c>
      <c r="E304" s="1">
        <v>11869.0175509</v>
      </c>
      <c r="G304" s="1"/>
    </row>
    <row r="305" spans="2:7">
      <c r="B305" s="1" t="s">
        <v>1472</v>
      </c>
      <c r="C305" s="1" t="s">
        <v>1473</v>
      </c>
      <c r="D305" s="1" t="s">
        <v>1611</v>
      </c>
      <c r="E305" s="1">
        <v>6004.6662223800004</v>
      </c>
      <c r="G305" s="1"/>
    </row>
    <row r="306" spans="2:7">
      <c r="B306" s="1" t="s">
        <v>1472</v>
      </c>
      <c r="C306" s="1" t="s">
        <v>1473</v>
      </c>
      <c r="D306" s="1" t="s">
        <v>1612</v>
      </c>
      <c r="E306" s="1">
        <v>346000.52817800001</v>
      </c>
      <c r="G306" s="1"/>
    </row>
    <row r="307" spans="2:7">
      <c r="B307" s="1" t="s">
        <v>1472</v>
      </c>
      <c r="C307" s="1" t="s">
        <v>1473</v>
      </c>
      <c r="D307" s="1" t="s">
        <v>1613</v>
      </c>
      <c r="E307" s="1">
        <v>191013.62417600001</v>
      </c>
      <c r="G307" s="1"/>
    </row>
    <row r="308" spans="2:7">
      <c r="B308" s="1" t="s">
        <v>1472</v>
      </c>
      <c r="C308" s="1" t="s">
        <v>1473</v>
      </c>
      <c r="D308" s="1" t="s">
        <v>520</v>
      </c>
      <c r="E308" s="1">
        <v>30254.644028499999</v>
      </c>
      <c r="G308" s="1"/>
    </row>
    <row r="309" spans="2:7">
      <c r="B309" s="1" t="s">
        <v>1472</v>
      </c>
      <c r="C309" s="1" t="s">
        <v>1473</v>
      </c>
      <c r="D309" s="1" t="s">
        <v>565</v>
      </c>
      <c r="E309" s="1">
        <v>6037.6962208699997</v>
      </c>
      <c r="G309" s="1"/>
    </row>
    <row r="310" spans="2:7">
      <c r="B310" s="1" t="s">
        <v>1472</v>
      </c>
      <c r="C310" s="1" t="s">
        <v>1473</v>
      </c>
      <c r="D310" s="1" t="s">
        <v>1614</v>
      </c>
      <c r="E310" s="1">
        <v>304877.88942800002</v>
      </c>
      <c r="G310" s="1"/>
    </row>
    <row r="311" spans="2:7">
      <c r="B311" s="1" t="s">
        <v>1472</v>
      </c>
      <c r="C311" s="1" t="s">
        <v>1473</v>
      </c>
      <c r="D311" s="1" t="s">
        <v>1615</v>
      </c>
      <c r="E311" s="1">
        <v>260431.39071899999</v>
      </c>
      <c r="G311" s="1"/>
    </row>
    <row r="312" spans="2:7">
      <c r="B312" s="1" t="s">
        <v>1472</v>
      </c>
      <c r="C312" s="1" t="s">
        <v>1473</v>
      </c>
      <c r="D312" s="1" t="s">
        <v>1616</v>
      </c>
      <c r="E312" s="1">
        <v>5477899.2010500003</v>
      </c>
      <c r="G312" s="1"/>
    </row>
    <row r="313" spans="2:7">
      <c r="B313" s="1" t="s">
        <v>1472</v>
      </c>
      <c r="C313" s="1" t="s">
        <v>1473</v>
      </c>
      <c r="D313" s="1" t="s">
        <v>1617</v>
      </c>
      <c r="E313" s="1">
        <v>6356927.8979000002</v>
      </c>
      <c r="G313" s="1"/>
    </row>
    <row r="314" spans="2:7">
      <c r="B314" s="1" t="s">
        <v>1472</v>
      </c>
      <c r="C314" s="1" t="s">
        <v>1473</v>
      </c>
      <c r="D314" s="1" t="s">
        <v>1619</v>
      </c>
      <c r="E314" s="1">
        <v>277824.87250200001</v>
      </c>
      <c r="G314" s="1"/>
    </row>
    <row r="315" spans="2:7">
      <c r="B315" s="1" t="s">
        <v>1472</v>
      </c>
      <c r="C315" s="1" t="s">
        <v>1473</v>
      </c>
      <c r="D315" s="1" t="s">
        <v>1620</v>
      </c>
      <c r="E315" s="1">
        <v>342435.20804599999</v>
      </c>
      <c r="G315" s="1"/>
    </row>
    <row r="316" spans="2:7">
      <c r="B316" s="1" t="s">
        <v>1472</v>
      </c>
      <c r="C316" s="1" t="s">
        <v>1473</v>
      </c>
      <c r="D316" s="1" t="s">
        <v>1621</v>
      </c>
      <c r="E316" s="1">
        <v>232309.80249100001</v>
      </c>
      <c r="G316" s="1"/>
    </row>
    <row r="317" spans="2:7">
      <c r="B317" s="1" t="s">
        <v>1472</v>
      </c>
      <c r="C317" s="1" t="s">
        <v>1473</v>
      </c>
      <c r="D317" s="1" t="s">
        <v>1622</v>
      </c>
      <c r="E317" s="1">
        <v>593474.40813500003</v>
      </c>
      <c r="G317" s="1"/>
    </row>
    <row r="318" spans="2:7">
      <c r="B318" s="1" t="s">
        <v>1472</v>
      </c>
      <c r="C318" s="1" t="s">
        <v>1473</v>
      </c>
      <c r="D318" s="1" t="s">
        <v>1623</v>
      </c>
      <c r="E318" s="1">
        <v>3250062.3664600002</v>
      </c>
      <c r="G318" s="1"/>
    </row>
    <row r="319" spans="2:7">
      <c r="B319" s="1" t="s">
        <v>1472</v>
      </c>
      <c r="C319" s="1" t="s">
        <v>1473</v>
      </c>
      <c r="D319" s="1" t="s">
        <v>1596</v>
      </c>
      <c r="E319" s="1">
        <v>1246203.9220499999</v>
      </c>
      <c r="G319" s="1"/>
    </row>
    <row r="320" spans="2:7">
      <c r="B320" s="1" t="s">
        <v>1472</v>
      </c>
      <c r="C320" s="1" t="s">
        <v>1473</v>
      </c>
      <c r="D320" s="1" t="s">
        <v>1597</v>
      </c>
      <c r="E320" s="1">
        <v>3302919.5236999998</v>
      </c>
      <c r="G320" s="1"/>
    </row>
    <row r="321" spans="2:7">
      <c r="B321" s="1" t="s">
        <v>1472</v>
      </c>
      <c r="C321" s="1" t="s">
        <v>1473</v>
      </c>
      <c r="D321" s="1" t="s">
        <v>1598</v>
      </c>
      <c r="E321" s="1">
        <v>3439807.9121099999</v>
      </c>
      <c r="G321" s="1"/>
    </row>
    <row r="322" spans="2:7">
      <c r="B322" s="1" t="s">
        <v>1472</v>
      </c>
      <c r="C322" s="1" t="s">
        <v>1473</v>
      </c>
      <c r="D322" s="1" t="s">
        <v>533</v>
      </c>
      <c r="E322" s="1">
        <v>208335.83605099999</v>
      </c>
      <c r="G322" s="1"/>
    </row>
    <row r="323" spans="2:7">
      <c r="B323" s="1" t="s">
        <v>1472</v>
      </c>
      <c r="C323" s="1" t="s">
        <v>1473</v>
      </c>
      <c r="D323" s="1" t="s">
        <v>1575</v>
      </c>
      <c r="E323" s="1">
        <v>1360.9354065800001</v>
      </c>
      <c r="G323" s="1"/>
    </row>
    <row r="324" spans="2:7">
      <c r="B324" s="1" t="s">
        <v>1472</v>
      </c>
      <c r="C324" s="1" t="s">
        <v>1473</v>
      </c>
      <c r="D324" s="1" t="s">
        <v>1576</v>
      </c>
      <c r="E324" s="1">
        <v>6159.4588639800004</v>
      </c>
      <c r="G324" s="1"/>
    </row>
    <row r="325" spans="2:7">
      <c r="B325" s="1" t="s">
        <v>1472</v>
      </c>
      <c r="C325" s="1" t="s">
        <v>1473</v>
      </c>
      <c r="D325" s="1" t="s">
        <v>1578</v>
      </c>
      <c r="E325" s="1">
        <v>23431.992595600001</v>
      </c>
      <c r="G325" s="1"/>
    </row>
    <row r="326" spans="2:7">
      <c r="B326" s="1" t="s">
        <v>1472</v>
      </c>
      <c r="C326" s="1" t="s">
        <v>1473</v>
      </c>
      <c r="D326" s="1" t="s">
        <v>1579</v>
      </c>
      <c r="E326" s="1">
        <v>340552.49131999997</v>
      </c>
      <c r="G326" s="1"/>
    </row>
    <row r="327" spans="2:7">
      <c r="B327" s="1" t="s">
        <v>1472</v>
      </c>
      <c r="C327" s="1" t="s">
        <v>1473</v>
      </c>
      <c r="D327" s="1" t="s">
        <v>1580</v>
      </c>
      <c r="E327" s="1">
        <v>3663.0854950799999</v>
      </c>
      <c r="G327" s="1"/>
    </row>
    <row r="328" spans="2:7">
      <c r="B328" s="1" t="s">
        <v>1472</v>
      </c>
      <c r="C328" s="1" t="s">
        <v>1473</v>
      </c>
      <c r="D328" s="1" t="s">
        <v>1582</v>
      </c>
      <c r="E328" s="1">
        <v>30896.680734400001</v>
      </c>
      <c r="G328" s="1"/>
    </row>
    <row r="329" spans="2:7">
      <c r="B329" s="1" t="s">
        <v>1472</v>
      </c>
      <c r="C329" s="1" t="s">
        <v>1473</v>
      </c>
      <c r="D329" s="1" t="s">
        <v>1583</v>
      </c>
      <c r="E329" s="1">
        <v>55400.105655699997</v>
      </c>
      <c r="G329" s="1"/>
    </row>
    <row r="330" spans="2:7">
      <c r="B330" s="1" t="s">
        <v>1472</v>
      </c>
      <c r="C330" s="1" t="s">
        <v>1473</v>
      </c>
      <c r="D330" s="1" t="s">
        <v>1585</v>
      </c>
      <c r="E330" s="1">
        <v>6063.5539108700004</v>
      </c>
      <c r="G330" s="1"/>
    </row>
    <row r="331" spans="2:7">
      <c r="B331" s="1" t="s">
        <v>1472</v>
      </c>
      <c r="C331" s="1" t="s">
        <v>1473</v>
      </c>
      <c r="D331" s="1" t="s">
        <v>1586</v>
      </c>
      <c r="E331" s="1">
        <v>10702.2244168</v>
      </c>
      <c r="G331" s="1"/>
    </row>
    <row r="332" spans="2:7">
      <c r="B332" s="1" t="s">
        <v>1472</v>
      </c>
      <c r="C332" s="1" t="s">
        <v>1473</v>
      </c>
      <c r="D332" s="1" t="s">
        <v>1587</v>
      </c>
      <c r="E332" s="1">
        <v>25684.104546899998</v>
      </c>
      <c r="G332" s="1"/>
    </row>
    <row r="333" spans="2:7">
      <c r="B333" s="1" t="s">
        <v>1472</v>
      </c>
      <c r="C333" s="1" t="s">
        <v>1473</v>
      </c>
      <c r="D333" s="1" t="s">
        <v>1588</v>
      </c>
      <c r="E333" s="1">
        <v>159378.124622</v>
      </c>
      <c r="G333" s="1"/>
    </row>
    <row r="334" spans="2:7">
      <c r="B334" s="1" t="s">
        <v>1472</v>
      </c>
      <c r="C334" s="1" t="s">
        <v>1473</v>
      </c>
      <c r="D334" s="1" t="s">
        <v>1590</v>
      </c>
      <c r="E334" s="1">
        <v>180.32438763499999</v>
      </c>
      <c r="G334" s="1"/>
    </row>
    <row r="335" spans="2:7">
      <c r="B335" s="1" t="s">
        <v>1472</v>
      </c>
      <c r="C335" s="1" t="s">
        <v>1473</v>
      </c>
      <c r="D335" s="1" t="s">
        <v>1591</v>
      </c>
      <c r="E335" s="1">
        <v>11139.285599500001</v>
      </c>
      <c r="G335" s="1"/>
    </row>
    <row r="336" spans="2:7">
      <c r="B336" s="1" t="s">
        <v>1472</v>
      </c>
      <c r="C336" s="1" t="s">
        <v>1473</v>
      </c>
      <c r="D336" s="1" t="s">
        <v>1592</v>
      </c>
      <c r="E336" s="1">
        <v>8192.5873047099994</v>
      </c>
      <c r="G336" s="1"/>
    </row>
    <row r="337" spans="2:7">
      <c r="B337" s="1" t="s">
        <v>1472</v>
      </c>
      <c r="C337" s="1" t="s">
        <v>1473</v>
      </c>
      <c r="D337" s="1" t="s">
        <v>1593</v>
      </c>
      <c r="E337" s="1">
        <v>56470.860838599998</v>
      </c>
      <c r="G337" s="1"/>
    </row>
    <row r="338" spans="2:7">
      <c r="B338" s="1" t="s">
        <v>1472</v>
      </c>
      <c r="C338" s="1" t="s">
        <v>1473</v>
      </c>
      <c r="D338" s="1" t="s">
        <v>1594</v>
      </c>
      <c r="E338" s="1">
        <v>87711.124354900006</v>
      </c>
      <c r="G338" s="1"/>
    </row>
    <row r="339" spans="2:7">
      <c r="B339" s="1" t="s">
        <v>1472</v>
      </c>
      <c r="C339" s="1" t="s">
        <v>1473</v>
      </c>
      <c r="D339" s="1" t="s">
        <v>1595</v>
      </c>
      <c r="E339" s="1">
        <v>1905.72598565</v>
      </c>
      <c r="G339" s="1"/>
    </row>
    <row r="340" spans="2:7">
      <c r="B340" s="1" t="s">
        <v>1472</v>
      </c>
      <c r="C340" s="1" t="s">
        <v>1473</v>
      </c>
      <c r="D340" s="1" t="s">
        <v>1526</v>
      </c>
      <c r="E340" s="1">
        <v>1608.37807464</v>
      </c>
      <c r="G340" s="1"/>
    </row>
    <row r="341" spans="2:7">
      <c r="B341" s="1" t="s">
        <v>1472</v>
      </c>
      <c r="C341" s="1" t="s">
        <v>1473</v>
      </c>
      <c r="D341" s="1" t="s">
        <v>1527</v>
      </c>
      <c r="E341" s="1">
        <v>192.142456079</v>
      </c>
      <c r="G341" s="1"/>
    </row>
    <row r="342" spans="2:7">
      <c r="B342" s="1" t="s">
        <v>1472</v>
      </c>
      <c r="C342" s="1" t="s">
        <v>1473</v>
      </c>
      <c r="D342" s="1" t="s">
        <v>1528</v>
      </c>
      <c r="E342" s="1">
        <v>32870.5131492</v>
      </c>
      <c r="G342" s="1"/>
    </row>
    <row r="343" spans="2:7">
      <c r="B343" s="1" t="s">
        <v>1472</v>
      </c>
      <c r="C343" s="1" t="s">
        <v>1473</v>
      </c>
      <c r="D343" s="1" t="s">
        <v>1529</v>
      </c>
      <c r="E343" s="1">
        <v>760300.901495</v>
      </c>
      <c r="G343" s="1"/>
    </row>
    <row r="344" spans="2:7">
      <c r="B344" s="1" t="s">
        <v>1472</v>
      </c>
      <c r="C344" s="1" t="s">
        <v>1473</v>
      </c>
      <c r="D344" s="1" t="s">
        <v>1530</v>
      </c>
      <c r="E344" s="1">
        <v>481861.50175900001</v>
      </c>
      <c r="G344" s="1"/>
    </row>
    <row r="345" spans="2:7">
      <c r="B345" s="1" t="s">
        <v>1472</v>
      </c>
      <c r="C345" s="1" t="s">
        <v>1473</v>
      </c>
      <c r="D345" s="1" t="s">
        <v>1532</v>
      </c>
      <c r="E345" s="1">
        <v>15402.7350778</v>
      </c>
      <c r="G345" s="1"/>
    </row>
    <row r="346" spans="2:7">
      <c r="B346" s="1" t="s">
        <v>1472</v>
      </c>
      <c r="C346" s="1" t="s">
        <v>1473</v>
      </c>
      <c r="D346" s="1" t="s">
        <v>1533</v>
      </c>
      <c r="E346" s="1">
        <v>4200.0937112199999</v>
      </c>
      <c r="G346" s="1"/>
    </row>
    <row r="347" spans="2:7">
      <c r="B347" s="1" t="s">
        <v>1472</v>
      </c>
      <c r="C347" s="1" t="s">
        <v>1473</v>
      </c>
      <c r="D347" s="1" t="s">
        <v>1534</v>
      </c>
      <c r="E347" s="1">
        <v>7984.0462066399996</v>
      </c>
      <c r="G347" s="1"/>
    </row>
    <row r="348" spans="2:7">
      <c r="B348" s="1" t="s">
        <v>1472</v>
      </c>
      <c r="C348" s="1" t="s">
        <v>1473</v>
      </c>
      <c r="D348" s="1" t="s">
        <v>1535</v>
      </c>
      <c r="E348" s="1">
        <v>43605.416989799996</v>
      </c>
      <c r="G348" s="1"/>
    </row>
    <row r="349" spans="2:7">
      <c r="B349" s="1" t="s">
        <v>1472</v>
      </c>
      <c r="C349" s="1" t="s">
        <v>1473</v>
      </c>
      <c r="D349" s="1" t="s">
        <v>1536</v>
      </c>
      <c r="E349" s="1">
        <v>36028.4639044</v>
      </c>
      <c r="G349" s="1"/>
    </row>
    <row r="350" spans="2:7">
      <c r="B350" s="1" t="s">
        <v>1472</v>
      </c>
      <c r="C350" s="1" t="s">
        <v>1473</v>
      </c>
      <c r="D350" s="1" t="s">
        <v>1537</v>
      </c>
      <c r="E350" s="1">
        <v>4.4576692163900002</v>
      </c>
      <c r="G350" s="1"/>
    </row>
    <row r="351" spans="2:7">
      <c r="B351" s="1" t="s">
        <v>1472</v>
      </c>
      <c r="C351" s="1" t="s">
        <v>1473</v>
      </c>
      <c r="D351" s="1" t="s">
        <v>1538</v>
      </c>
      <c r="E351" s="1">
        <v>14422.528007700001</v>
      </c>
      <c r="G351" s="1"/>
    </row>
    <row r="352" spans="2:7">
      <c r="B352" s="1" t="s">
        <v>1472</v>
      </c>
      <c r="C352" s="1" t="s">
        <v>1473</v>
      </c>
      <c r="D352" s="1" t="s">
        <v>406</v>
      </c>
      <c r="E352" s="1">
        <v>287.451132906</v>
      </c>
      <c r="G352" s="1"/>
    </row>
    <row r="353" spans="2:7">
      <c r="B353" s="1" t="s">
        <v>1472</v>
      </c>
      <c r="C353" s="1" t="s">
        <v>1473</v>
      </c>
      <c r="D353" s="1" t="s">
        <v>1539</v>
      </c>
      <c r="E353" s="1">
        <v>1317.3004704299999</v>
      </c>
      <c r="G353" s="1"/>
    </row>
    <row r="354" spans="2:7">
      <c r="B354" s="1" t="s">
        <v>1472</v>
      </c>
      <c r="C354" s="1" t="s">
        <v>1473</v>
      </c>
      <c r="D354" s="1" t="s">
        <v>1689</v>
      </c>
      <c r="E354" s="1">
        <v>52674.133829099999</v>
      </c>
      <c r="G354" s="1"/>
    </row>
    <row r="355" spans="2:7">
      <c r="B355" s="1" t="s">
        <v>1472</v>
      </c>
      <c r="C355" s="1" t="s">
        <v>1473</v>
      </c>
      <c r="D355" s="1" t="s">
        <v>1691</v>
      </c>
      <c r="E355" s="1">
        <v>71174.752588999996</v>
      </c>
      <c r="G355" s="1"/>
    </row>
    <row r="356" spans="2:7">
      <c r="B356" s="1" t="s">
        <v>1472</v>
      </c>
      <c r="C356" s="1" t="s">
        <v>1473</v>
      </c>
      <c r="D356" s="1" t="s">
        <v>1692</v>
      </c>
      <c r="E356" s="1">
        <v>111434.541377</v>
      </c>
      <c r="G356" s="1"/>
    </row>
    <row r="357" spans="2:7">
      <c r="B357" s="1" t="s">
        <v>1472</v>
      </c>
      <c r="C357" s="1" t="s">
        <v>1473</v>
      </c>
      <c r="D357" s="1" t="s">
        <v>1693</v>
      </c>
      <c r="E357" s="1">
        <v>25606.063845600002</v>
      </c>
      <c r="G357" s="1"/>
    </row>
    <row r="358" spans="2:7">
      <c r="B358" s="1" t="s">
        <v>1472</v>
      </c>
      <c r="C358" s="1" t="s">
        <v>1473</v>
      </c>
      <c r="D358" s="1" t="s">
        <v>1694</v>
      </c>
      <c r="E358" s="1">
        <v>3496.93195896</v>
      </c>
      <c r="G358" s="1"/>
    </row>
    <row r="359" spans="2:7">
      <c r="B359" s="1" t="s">
        <v>1472</v>
      </c>
      <c r="C359" s="1" t="s">
        <v>1473</v>
      </c>
      <c r="D359" s="1" t="s">
        <v>1695</v>
      </c>
      <c r="E359" s="1">
        <v>405957.119641</v>
      </c>
      <c r="G359" s="1"/>
    </row>
    <row r="360" spans="2:7">
      <c r="B360" s="1" t="s">
        <v>1472</v>
      </c>
      <c r="C360" s="1" t="s">
        <v>1473</v>
      </c>
      <c r="D360" s="1" t="s">
        <v>1696</v>
      </c>
      <c r="E360" s="1">
        <v>211823.30196899999</v>
      </c>
      <c r="G360" s="1"/>
    </row>
    <row r="361" spans="2:7">
      <c r="B361" s="1" t="s">
        <v>1472</v>
      </c>
      <c r="C361" s="1" t="s">
        <v>1473</v>
      </c>
      <c r="D361" s="1" t="s">
        <v>457</v>
      </c>
      <c r="E361" s="1">
        <v>133315.594438</v>
      </c>
      <c r="G361" s="1"/>
    </row>
    <row r="362" spans="2:7">
      <c r="B362" s="1" t="s">
        <v>1472</v>
      </c>
      <c r="C362" s="1" t="s">
        <v>1473</v>
      </c>
      <c r="D362" s="1" t="s">
        <v>1697</v>
      </c>
      <c r="E362" s="1">
        <v>656014.72322699998</v>
      </c>
      <c r="G362" s="1"/>
    </row>
    <row r="363" spans="2:7">
      <c r="B363" s="1" t="s">
        <v>1472</v>
      </c>
      <c r="C363" s="1" t="s">
        <v>1473</v>
      </c>
      <c r="D363" s="1" t="s">
        <v>1699</v>
      </c>
      <c r="E363" s="1">
        <v>7765.0477404399999</v>
      </c>
      <c r="G363" s="1"/>
    </row>
    <row r="364" spans="2:7">
      <c r="B364" s="1" t="s">
        <v>1472</v>
      </c>
      <c r="C364" s="1" t="s">
        <v>1473</v>
      </c>
      <c r="D364" s="1" t="s">
        <v>1700</v>
      </c>
      <c r="E364" s="1">
        <v>27598.213551699999</v>
      </c>
      <c r="G364" s="1"/>
    </row>
    <row r="365" spans="2:7">
      <c r="B365" s="1" t="s">
        <v>1472</v>
      </c>
      <c r="C365" s="1" t="s">
        <v>1473</v>
      </c>
      <c r="D365" s="1" t="s">
        <v>1701</v>
      </c>
      <c r="E365" s="1">
        <v>114342.711238</v>
      </c>
      <c r="G365" s="1"/>
    </row>
    <row r="366" spans="2:7">
      <c r="B366" s="1" t="s">
        <v>1472</v>
      </c>
      <c r="C366" s="1" t="s">
        <v>1473</v>
      </c>
      <c r="D366" s="1" t="s">
        <v>486</v>
      </c>
      <c r="E366" s="1">
        <v>391914.18557799998</v>
      </c>
      <c r="G366" s="1"/>
    </row>
    <row r="367" spans="2:7">
      <c r="B367" s="1" t="s">
        <v>1472</v>
      </c>
      <c r="C367" s="1" t="s">
        <v>1473</v>
      </c>
      <c r="D367" s="1" t="s">
        <v>1702</v>
      </c>
      <c r="E367" s="1">
        <v>252023.23261599999</v>
      </c>
      <c r="G367" s="1"/>
    </row>
    <row r="368" spans="2:7">
      <c r="B368" s="1" t="s">
        <v>1472</v>
      </c>
      <c r="C368" s="1" t="s">
        <v>1473</v>
      </c>
      <c r="D368" s="1" t="s">
        <v>1703</v>
      </c>
      <c r="E368" s="1">
        <v>129467.935901</v>
      </c>
      <c r="G368" s="1"/>
    </row>
    <row r="369" spans="2:7">
      <c r="B369" s="1" t="s">
        <v>1472</v>
      </c>
      <c r="C369" s="1" t="s">
        <v>1473</v>
      </c>
      <c r="D369" s="1" t="s">
        <v>1704</v>
      </c>
      <c r="E369" s="1">
        <v>371916.72533400002</v>
      </c>
      <c r="G369" s="1"/>
    </row>
    <row r="370" spans="2:7">
      <c r="B370" s="1" t="s">
        <v>1472</v>
      </c>
      <c r="C370" s="1" t="s">
        <v>1473</v>
      </c>
      <c r="D370" s="1" t="s">
        <v>1705</v>
      </c>
      <c r="E370" s="1">
        <v>161.52186769599999</v>
      </c>
      <c r="G370" s="1"/>
    </row>
    <row r="371" spans="2:7">
      <c r="B371" s="1" t="s">
        <v>1472</v>
      </c>
      <c r="C371" s="1" t="s">
        <v>1473</v>
      </c>
      <c r="D371" s="1" t="s">
        <v>1706</v>
      </c>
      <c r="E371" s="1">
        <v>81230.943162900003</v>
      </c>
      <c r="G371" s="1"/>
    </row>
    <row r="372" spans="2:7">
      <c r="B372" s="1" t="s">
        <v>1472</v>
      </c>
      <c r="C372" s="1" t="s">
        <v>1473</v>
      </c>
      <c r="D372" s="1" t="s">
        <v>1707</v>
      </c>
      <c r="E372" s="1">
        <v>75557.871091599998</v>
      </c>
      <c r="G372" s="1"/>
    </row>
    <row r="373" spans="2:7">
      <c r="B373" s="1" t="s">
        <v>1472</v>
      </c>
      <c r="C373" s="1" t="s">
        <v>1473</v>
      </c>
      <c r="D373" s="1" t="s">
        <v>1708</v>
      </c>
      <c r="E373" s="1">
        <v>1228355.00129</v>
      </c>
      <c r="G373" s="1"/>
    </row>
    <row r="374" spans="2:7">
      <c r="B374" s="1" t="s">
        <v>1472</v>
      </c>
      <c r="C374" s="1" t="s">
        <v>1473</v>
      </c>
      <c r="D374" s="1" t="s">
        <v>559</v>
      </c>
      <c r="E374" s="1">
        <v>31754.573450700002</v>
      </c>
      <c r="G374" s="1"/>
    </row>
    <row r="375" spans="2:7">
      <c r="B375" s="1" t="s">
        <v>1472</v>
      </c>
      <c r="C375" s="1" t="s">
        <v>1473</v>
      </c>
      <c r="D375" s="1" t="s">
        <v>1647</v>
      </c>
      <c r="E375" s="1">
        <v>2574551.8348300001</v>
      </c>
      <c r="G375" s="1"/>
    </row>
    <row r="376" spans="2:7">
      <c r="B376" s="1" t="s">
        <v>1472</v>
      </c>
      <c r="C376" s="1" t="s">
        <v>1473</v>
      </c>
      <c r="D376" s="1" t="s">
        <v>1648</v>
      </c>
      <c r="E376" s="1">
        <v>381326.53240700002</v>
      </c>
      <c r="G376" s="1"/>
    </row>
    <row r="377" spans="2:7">
      <c r="B377" s="1" t="s">
        <v>1472</v>
      </c>
      <c r="C377" s="1" t="s">
        <v>1473</v>
      </c>
      <c r="D377" s="1" t="s">
        <v>1649</v>
      </c>
      <c r="E377" s="1">
        <v>455150.61600799998</v>
      </c>
      <c r="G377" s="1"/>
    </row>
    <row r="378" spans="2:7">
      <c r="B378" s="1" t="s">
        <v>1472</v>
      </c>
      <c r="C378" s="1" t="s">
        <v>1473</v>
      </c>
      <c r="D378" s="1" t="s">
        <v>540</v>
      </c>
      <c r="E378" s="1">
        <v>19709.6774573</v>
      </c>
      <c r="G378" s="1"/>
    </row>
    <row r="379" spans="2:7">
      <c r="B379" s="1" t="s">
        <v>1472</v>
      </c>
      <c r="C379" s="1" t="s">
        <v>1473</v>
      </c>
      <c r="D379" s="1" t="s">
        <v>1650</v>
      </c>
      <c r="E379" s="1">
        <v>292195.88939800003</v>
      </c>
      <c r="G379" s="1"/>
    </row>
    <row r="380" spans="2:7">
      <c r="B380" s="1" t="s">
        <v>1472</v>
      </c>
      <c r="C380" s="1" t="s">
        <v>1473</v>
      </c>
      <c r="D380" s="1" t="s">
        <v>1651</v>
      </c>
      <c r="E380" s="1">
        <v>1422882.04424</v>
      </c>
      <c r="G380" s="1"/>
    </row>
    <row r="381" spans="2:7">
      <c r="B381" s="1" t="s">
        <v>1472</v>
      </c>
      <c r="C381" s="1" t="s">
        <v>1473</v>
      </c>
      <c r="D381" s="1" t="s">
        <v>1652</v>
      </c>
      <c r="E381" s="1">
        <v>524347.03718300001</v>
      </c>
      <c r="G381" s="1"/>
    </row>
    <row r="382" spans="2:7">
      <c r="B382" s="1" t="s">
        <v>1472</v>
      </c>
      <c r="C382" s="1" t="s">
        <v>1473</v>
      </c>
      <c r="D382" s="1" t="s">
        <v>1653</v>
      </c>
      <c r="E382" s="1">
        <v>60757.376418699998</v>
      </c>
      <c r="G382" s="1"/>
    </row>
    <row r="383" spans="2:7">
      <c r="B383" s="1" t="s">
        <v>1472</v>
      </c>
      <c r="C383" s="1" t="s">
        <v>1473</v>
      </c>
      <c r="D383" s="1" t="s">
        <v>1654</v>
      </c>
      <c r="E383" s="1">
        <v>346305.95595700003</v>
      </c>
      <c r="G383" s="1"/>
    </row>
    <row r="384" spans="2:7">
      <c r="B384" s="1" t="s">
        <v>1472</v>
      </c>
      <c r="C384" s="1" t="s">
        <v>1473</v>
      </c>
      <c r="D384" s="1" t="s">
        <v>1655</v>
      </c>
      <c r="E384" s="1">
        <v>15095.562146099999</v>
      </c>
      <c r="G384" s="1"/>
    </row>
    <row r="385" spans="2:7">
      <c r="B385" s="1" t="s">
        <v>1472</v>
      </c>
      <c r="C385" s="1" t="s">
        <v>1473</v>
      </c>
      <c r="D385" s="1" t="s">
        <v>1656</v>
      </c>
      <c r="E385" s="1">
        <v>64939.859904500001</v>
      </c>
      <c r="G385" s="1"/>
    </row>
    <row r="386" spans="2:7">
      <c r="B386" s="1" t="s">
        <v>1472</v>
      </c>
      <c r="C386" s="1" t="s">
        <v>1473</v>
      </c>
      <c r="D386" s="1" t="s">
        <v>605</v>
      </c>
      <c r="E386" s="1">
        <v>26623.7159302</v>
      </c>
      <c r="G386" s="1"/>
    </row>
    <row r="387" spans="2:7">
      <c r="B387" s="1" t="s">
        <v>1472</v>
      </c>
      <c r="C387" s="1" t="s">
        <v>1473</v>
      </c>
      <c r="D387" s="1" t="s">
        <v>1657</v>
      </c>
      <c r="E387" s="1">
        <v>11599.1096385</v>
      </c>
      <c r="G387" s="1"/>
    </row>
    <row r="388" spans="2:7">
      <c r="B388" s="1" t="s">
        <v>1472</v>
      </c>
      <c r="C388" s="1" t="s">
        <v>1473</v>
      </c>
      <c r="D388" s="1" t="s">
        <v>1658</v>
      </c>
      <c r="E388" s="1">
        <v>3190.71654463</v>
      </c>
      <c r="G388" s="1"/>
    </row>
    <row r="389" spans="2:7">
      <c r="B389" s="1" t="s">
        <v>1472</v>
      </c>
      <c r="C389" s="1" t="s">
        <v>1473</v>
      </c>
      <c r="D389" s="1" t="s">
        <v>1659</v>
      </c>
      <c r="E389" s="1">
        <v>3093.47925429</v>
      </c>
      <c r="G389" s="1"/>
    </row>
    <row r="390" spans="2:7">
      <c r="B390" s="1" t="s">
        <v>1472</v>
      </c>
      <c r="C390" s="1" t="s">
        <v>1473</v>
      </c>
      <c r="D390" s="1" t="s">
        <v>1660</v>
      </c>
      <c r="E390" s="1">
        <v>38127.824105</v>
      </c>
      <c r="G390" s="1"/>
    </row>
    <row r="391" spans="2:7">
      <c r="B391" s="1" t="s">
        <v>1472</v>
      </c>
      <c r="C391" s="1" t="s">
        <v>1473</v>
      </c>
      <c r="D391" s="1" t="s">
        <v>1661</v>
      </c>
      <c r="E391" s="1">
        <v>102199.34703800001</v>
      </c>
      <c r="G391" s="1"/>
    </row>
    <row r="392" spans="2:7">
      <c r="B392" s="1" t="s">
        <v>1472</v>
      </c>
      <c r="C392" s="1" t="s">
        <v>1473</v>
      </c>
      <c r="D392" s="1" t="s">
        <v>1662</v>
      </c>
      <c r="E392" s="1">
        <v>18030.4106938</v>
      </c>
      <c r="G392" s="1"/>
    </row>
    <row r="393" spans="2:7">
      <c r="B393" s="1" t="s">
        <v>1472</v>
      </c>
      <c r="C393" s="1" t="s">
        <v>1473</v>
      </c>
      <c r="D393" s="1" t="s">
        <v>1663</v>
      </c>
      <c r="E393" s="1">
        <v>42490.210121399999</v>
      </c>
      <c r="G393" s="1"/>
    </row>
    <row r="394" spans="2:7">
      <c r="B394" s="1" t="s">
        <v>1472</v>
      </c>
      <c r="C394" s="1" t="s">
        <v>1473</v>
      </c>
      <c r="D394" s="1" t="s">
        <v>510</v>
      </c>
      <c r="E394" s="1">
        <v>83403.7906754</v>
      </c>
      <c r="G394" s="1"/>
    </row>
    <row r="395" spans="2:7">
      <c r="B395" s="1" t="s">
        <v>1472</v>
      </c>
      <c r="C395" s="1" t="s">
        <v>1473</v>
      </c>
      <c r="D395" s="1" t="s">
        <v>1687</v>
      </c>
      <c r="E395" s="1">
        <v>407775.68637200003</v>
      </c>
      <c r="G395" s="1"/>
    </row>
    <row r="396" spans="2:7">
      <c r="B396" s="1" t="s">
        <v>1472</v>
      </c>
      <c r="C396" s="1" t="s">
        <v>1473</v>
      </c>
      <c r="D396" s="1" t="s">
        <v>1688</v>
      </c>
      <c r="E396" s="1">
        <v>2845709.6586199999</v>
      </c>
      <c r="G396" s="1"/>
    </row>
    <row r="397" spans="2:7">
      <c r="B397" s="1" t="s">
        <v>1472</v>
      </c>
      <c r="C397" s="1" t="s">
        <v>1473</v>
      </c>
      <c r="D397" s="1" t="s">
        <v>1665</v>
      </c>
      <c r="E397" s="1">
        <v>126488.162081</v>
      </c>
      <c r="G397" s="1"/>
    </row>
    <row r="398" spans="2:7">
      <c r="B398" s="1" t="s">
        <v>1472</v>
      </c>
      <c r="C398" s="1" t="s">
        <v>1473</v>
      </c>
      <c r="D398" s="1" t="s">
        <v>429</v>
      </c>
      <c r="E398" s="1">
        <v>5279.8652124199998</v>
      </c>
      <c r="G398" s="1"/>
    </row>
    <row r="399" spans="2:7">
      <c r="B399" s="1" t="s">
        <v>1472</v>
      </c>
      <c r="C399" s="1" t="s">
        <v>1473</v>
      </c>
      <c r="D399" s="1" t="s">
        <v>1666</v>
      </c>
      <c r="E399" s="1">
        <v>157.59822814899999</v>
      </c>
      <c r="G399" s="1"/>
    </row>
    <row r="400" spans="2:7">
      <c r="B400" s="1" t="s">
        <v>1472</v>
      </c>
      <c r="C400" s="1" t="s">
        <v>1473</v>
      </c>
      <c r="D400" s="1" t="s">
        <v>1667</v>
      </c>
      <c r="E400" s="1">
        <v>232.01979482300001</v>
      </c>
      <c r="G400" s="1"/>
    </row>
    <row r="401" spans="2:7">
      <c r="B401" s="1" t="s">
        <v>1472</v>
      </c>
      <c r="C401" s="1" t="s">
        <v>1473</v>
      </c>
      <c r="D401" s="1" t="s">
        <v>1668</v>
      </c>
      <c r="E401" s="1">
        <v>56.513985021899998</v>
      </c>
      <c r="G401" s="1"/>
    </row>
    <row r="402" spans="2:7">
      <c r="B402" s="1" t="s">
        <v>1472</v>
      </c>
      <c r="C402" s="1" t="s">
        <v>1473</v>
      </c>
      <c r="D402" s="1" t="s">
        <v>1669</v>
      </c>
      <c r="E402" s="1">
        <v>8875.0371834399994</v>
      </c>
      <c r="G402" s="1"/>
    </row>
    <row r="403" spans="2:7">
      <c r="B403" s="1" t="s">
        <v>1472</v>
      </c>
      <c r="C403" s="1" t="s">
        <v>1473</v>
      </c>
      <c r="D403" s="1" t="s">
        <v>1670</v>
      </c>
      <c r="E403" s="1">
        <v>3894.8765138899998</v>
      </c>
      <c r="G403" s="1"/>
    </row>
    <row r="404" spans="2:7">
      <c r="B404" s="1" t="s">
        <v>1472</v>
      </c>
      <c r="C404" s="1" t="s">
        <v>1473</v>
      </c>
      <c r="D404" s="1" t="s">
        <v>1671</v>
      </c>
      <c r="E404" s="1">
        <v>18304.9591124</v>
      </c>
      <c r="G404" s="1"/>
    </row>
    <row r="405" spans="2:7">
      <c r="B405" s="1" t="s">
        <v>1472</v>
      </c>
      <c r="C405" s="1" t="s">
        <v>1473</v>
      </c>
      <c r="D405" s="1" t="s">
        <v>1672</v>
      </c>
      <c r="E405" s="1">
        <v>12.460754641199999</v>
      </c>
      <c r="G405" s="1"/>
    </row>
    <row r="406" spans="2:7">
      <c r="B406" s="1" t="s">
        <v>1472</v>
      </c>
      <c r="C406" s="1" t="s">
        <v>1473</v>
      </c>
      <c r="D406" s="1" t="s">
        <v>1673</v>
      </c>
      <c r="E406" s="1">
        <v>1578752.3407999999</v>
      </c>
      <c r="G406" s="1"/>
    </row>
    <row r="407" spans="2:7">
      <c r="B407" s="1" t="s">
        <v>1472</v>
      </c>
      <c r="C407" s="1" t="s">
        <v>1473</v>
      </c>
      <c r="D407" s="1" t="s">
        <v>1675</v>
      </c>
      <c r="E407" s="1">
        <v>32664.5144984</v>
      </c>
      <c r="G407" s="1"/>
    </row>
    <row r="408" spans="2:7">
      <c r="B408" s="1" t="s">
        <v>1472</v>
      </c>
      <c r="C408" s="1" t="s">
        <v>1473</v>
      </c>
      <c r="D408" s="1" t="s">
        <v>1676</v>
      </c>
      <c r="E408" s="1">
        <v>807664.18000299996</v>
      </c>
      <c r="G408" s="1"/>
    </row>
    <row r="409" spans="2:7">
      <c r="B409" s="1" t="s">
        <v>1472</v>
      </c>
      <c r="C409" s="1" t="s">
        <v>1473</v>
      </c>
      <c r="D409" s="1" t="s">
        <v>1677</v>
      </c>
      <c r="E409" s="1">
        <v>876761.84207200003</v>
      </c>
      <c r="G409" s="1"/>
    </row>
    <row r="410" spans="2:7">
      <c r="B410" s="1" t="s">
        <v>1472</v>
      </c>
      <c r="C410" s="1" t="s">
        <v>1473</v>
      </c>
      <c r="D410" s="1" t="s">
        <v>1678</v>
      </c>
      <c r="E410" s="1">
        <v>189471.55873600001</v>
      </c>
      <c r="G410" s="1"/>
    </row>
    <row r="411" spans="2:7">
      <c r="B411" s="1" t="s">
        <v>1472</v>
      </c>
      <c r="C411" s="1" t="s">
        <v>1473</v>
      </c>
      <c r="D411" s="1" t="s">
        <v>1679</v>
      </c>
      <c r="E411" s="1">
        <v>5327.1945408700003</v>
      </c>
      <c r="G411" s="1"/>
    </row>
    <row r="412" spans="2:7">
      <c r="B412" s="1" t="s">
        <v>1472</v>
      </c>
      <c r="C412" s="1" t="s">
        <v>1473</v>
      </c>
      <c r="D412" s="1" t="s">
        <v>1683</v>
      </c>
      <c r="E412" s="1">
        <v>583.51485814199998</v>
      </c>
      <c r="G412" s="1"/>
    </row>
    <row r="413" spans="2:7">
      <c r="B413" s="1" t="s">
        <v>1472</v>
      </c>
      <c r="C413" s="1" t="s">
        <v>1473</v>
      </c>
      <c r="D413" s="1" t="s">
        <v>1684</v>
      </c>
      <c r="E413" s="1">
        <v>99.287695064199994</v>
      </c>
      <c r="G413" s="1"/>
    </row>
    <row r="414" spans="2:7">
      <c r="B414" s="1" t="s">
        <v>1472</v>
      </c>
      <c r="C414" s="1" t="s">
        <v>1473</v>
      </c>
      <c r="D414" s="1" t="s">
        <v>1685</v>
      </c>
      <c r="E414" s="1">
        <v>7970.1278225400001</v>
      </c>
      <c r="G414" s="1"/>
    </row>
    <row r="415" spans="2:7">
      <c r="B415" s="1" t="s">
        <v>1472</v>
      </c>
      <c r="C415" s="1" t="s">
        <v>1473</v>
      </c>
      <c r="D415" s="1" t="s">
        <v>1686</v>
      </c>
      <c r="E415" s="1">
        <v>249552.044295</v>
      </c>
      <c r="G415" s="1"/>
    </row>
    <row r="416" spans="2:7">
      <c r="B416" s="1" t="s">
        <v>1472</v>
      </c>
      <c r="C416" s="1" t="s">
        <v>1473</v>
      </c>
      <c r="D416" s="1" t="s">
        <v>1735</v>
      </c>
      <c r="E416" s="1">
        <v>9798.2491905799998</v>
      </c>
      <c r="G416" s="1"/>
    </row>
    <row r="417" spans="2:7">
      <c r="B417" s="1" t="s">
        <v>1472</v>
      </c>
      <c r="C417" s="1" t="s">
        <v>1473</v>
      </c>
      <c r="D417" s="1" t="s">
        <v>1736</v>
      </c>
      <c r="E417" s="1">
        <v>42392.396968699999</v>
      </c>
      <c r="G417" s="1"/>
    </row>
    <row r="418" spans="2:7">
      <c r="B418" s="1" t="s">
        <v>1472</v>
      </c>
      <c r="C418" s="1" t="s">
        <v>1473</v>
      </c>
      <c r="D418" s="1" t="s">
        <v>1737</v>
      </c>
      <c r="E418" s="1">
        <v>948.04665572500005</v>
      </c>
      <c r="G418" s="1"/>
    </row>
    <row r="419" spans="2:7">
      <c r="B419" s="1" t="s">
        <v>1472</v>
      </c>
      <c r="C419" s="1" t="s">
        <v>1473</v>
      </c>
      <c r="D419" s="1" t="s">
        <v>1738</v>
      </c>
      <c r="E419" s="1">
        <v>6.1164354655100004</v>
      </c>
      <c r="G419" s="1"/>
    </row>
    <row r="420" spans="2:7">
      <c r="B420" s="1" t="s">
        <v>1472</v>
      </c>
      <c r="C420" s="1" t="s">
        <v>1473</v>
      </c>
      <c r="D420" s="1" t="s">
        <v>1739</v>
      </c>
      <c r="E420" s="1">
        <v>9445.8257356100003</v>
      </c>
      <c r="G420" s="1"/>
    </row>
    <row r="421" spans="2:7">
      <c r="B421" s="1" t="s">
        <v>1472</v>
      </c>
      <c r="C421" s="1" t="s">
        <v>1473</v>
      </c>
      <c r="D421" s="1" t="s">
        <v>1740</v>
      </c>
      <c r="E421" s="1">
        <v>362.053158978</v>
      </c>
      <c r="G421" s="1"/>
    </row>
    <row r="422" spans="2:7">
      <c r="B422" s="1" t="s">
        <v>1472</v>
      </c>
      <c r="C422" s="1" t="s">
        <v>1473</v>
      </c>
      <c r="D422" s="1" t="s">
        <v>1741</v>
      </c>
      <c r="E422" s="1">
        <v>2.3358422566099999</v>
      </c>
      <c r="G422" s="1"/>
    </row>
    <row r="423" spans="2:7">
      <c r="B423" s="1" t="s">
        <v>1472</v>
      </c>
      <c r="C423" s="1" t="s">
        <v>1473</v>
      </c>
      <c r="D423" s="1" t="s">
        <v>1742</v>
      </c>
      <c r="E423" s="1">
        <v>7758317.4919199999</v>
      </c>
      <c r="G423" s="1"/>
    </row>
    <row r="424" spans="2:7">
      <c r="B424" s="1" t="s">
        <v>1472</v>
      </c>
      <c r="C424" s="1" t="s">
        <v>1473</v>
      </c>
      <c r="D424" s="1" t="s">
        <v>1744</v>
      </c>
      <c r="E424" s="1">
        <v>690.06306901999994</v>
      </c>
      <c r="G424" s="1"/>
    </row>
    <row r="425" spans="2:7">
      <c r="B425" s="1" t="s">
        <v>1472</v>
      </c>
      <c r="C425" s="1" t="s">
        <v>1473</v>
      </c>
      <c r="D425" s="1" t="s">
        <v>1710</v>
      </c>
      <c r="E425" s="1">
        <v>10514.3250364</v>
      </c>
      <c r="G425" s="1"/>
    </row>
    <row r="426" spans="2:7">
      <c r="B426" s="1" t="s">
        <v>1472</v>
      </c>
      <c r="C426" s="1" t="s">
        <v>1473</v>
      </c>
      <c r="D426" s="1" t="s">
        <v>1711</v>
      </c>
      <c r="E426" s="1">
        <v>5607.1064195099998</v>
      </c>
      <c r="G426" s="1"/>
    </row>
    <row r="427" spans="2:7">
      <c r="B427" s="1" t="s">
        <v>1472</v>
      </c>
      <c r="C427" s="1" t="s">
        <v>1473</v>
      </c>
      <c r="D427" s="1" t="s">
        <v>1712</v>
      </c>
      <c r="E427" s="1">
        <v>173734.240945</v>
      </c>
      <c r="G427" s="1"/>
    </row>
    <row r="428" spans="2:7">
      <c r="B428" s="1" t="s">
        <v>1472</v>
      </c>
      <c r="C428" s="1" t="s">
        <v>1473</v>
      </c>
      <c r="D428" s="1" t="s">
        <v>1713</v>
      </c>
      <c r="E428" s="1">
        <v>285173.54051999998</v>
      </c>
      <c r="G428" s="1"/>
    </row>
    <row r="429" spans="2:7">
      <c r="B429" s="1" t="s">
        <v>1472</v>
      </c>
      <c r="C429" s="1" t="s">
        <v>1473</v>
      </c>
      <c r="D429" s="1" t="s">
        <v>1715</v>
      </c>
      <c r="E429" s="1">
        <v>299011.41899600002</v>
      </c>
      <c r="G429" s="1"/>
    </row>
    <row r="430" spans="2:7">
      <c r="B430" s="1" t="s">
        <v>1472</v>
      </c>
      <c r="C430" s="1" t="s">
        <v>1473</v>
      </c>
      <c r="D430" s="1" t="s">
        <v>1716</v>
      </c>
      <c r="E430" s="1">
        <v>114799.87031499999</v>
      </c>
      <c r="G430" s="1"/>
    </row>
    <row r="431" spans="2:7">
      <c r="B431" s="1" t="s">
        <v>1472</v>
      </c>
      <c r="C431" s="1" t="s">
        <v>1473</v>
      </c>
      <c r="D431" s="1" t="s">
        <v>1717</v>
      </c>
      <c r="E431" s="1">
        <v>332123.99284600001</v>
      </c>
      <c r="G431" s="1"/>
    </row>
    <row r="432" spans="2:7">
      <c r="B432" s="1" t="s">
        <v>1472</v>
      </c>
      <c r="C432" s="1" t="s">
        <v>1473</v>
      </c>
      <c r="D432" s="1" t="s">
        <v>1718</v>
      </c>
      <c r="E432" s="1">
        <v>80769.545843999993</v>
      </c>
      <c r="G432" s="1"/>
    </row>
    <row r="433" spans="2:7">
      <c r="B433" s="1" t="s">
        <v>1472</v>
      </c>
      <c r="C433" s="1" t="s">
        <v>1473</v>
      </c>
      <c r="D433" s="1" t="s">
        <v>1719</v>
      </c>
      <c r="E433" s="1">
        <v>382649.338109</v>
      </c>
      <c r="G433" s="1"/>
    </row>
    <row r="434" spans="2:7">
      <c r="B434" s="1" t="s">
        <v>1472</v>
      </c>
      <c r="C434" s="1" t="s">
        <v>1473</v>
      </c>
      <c r="D434" s="1" t="s">
        <v>1720</v>
      </c>
      <c r="E434" s="1">
        <v>101510.502721</v>
      </c>
      <c r="G434" s="1"/>
    </row>
    <row r="435" spans="2:7">
      <c r="B435" s="1" t="s">
        <v>1472</v>
      </c>
      <c r="C435" s="1" t="s">
        <v>1473</v>
      </c>
      <c r="D435" s="1" t="s">
        <v>1721</v>
      </c>
      <c r="E435" s="1">
        <v>0</v>
      </c>
      <c r="G435" s="1"/>
    </row>
    <row r="436" spans="2:7">
      <c r="B436" s="1" t="s">
        <v>1472</v>
      </c>
      <c r="C436" s="1" t="s">
        <v>1473</v>
      </c>
      <c r="D436" s="1" t="s">
        <v>616</v>
      </c>
      <c r="E436" s="1">
        <v>298.44657839500002</v>
      </c>
      <c r="G436" s="1"/>
    </row>
    <row r="437" spans="2:7">
      <c r="B437" s="1" t="s">
        <v>1472</v>
      </c>
      <c r="C437" s="1" t="s">
        <v>1473</v>
      </c>
      <c r="D437" s="1" t="s">
        <v>1722</v>
      </c>
      <c r="E437" s="1">
        <v>148.51628735200001</v>
      </c>
      <c r="G437" s="1"/>
    </row>
    <row r="438" spans="2:7">
      <c r="B438" s="1" t="s">
        <v>1472</v>
      </c>
      <c r="C438" s="1" t="s">
        <v>1473</v>
      </c>
      <c r="D438" s="1" t="s">
        <v>1723</v>
      </c>
      <c r="E438" s="1">
        <v>288.63956635300002</v>
      </c>
      <c r="G438" s="1"/>
    </row>
    <row r="439" spans="2:7">
      <c r="B439" s="1" t="s">
        <v>1472</v>
      </c>
      <c r="C439" s="1" t="s">
        <v>1473</v>
      </c>
      <c r="D439" s="1" t="s">
        <v>1724</v>
      </c>
      <c r="E439" s="1">
        <v>155.37989216400001</v>
      </c>
      <c r="G439" s="1"/>
    </row>
    <row r="440" spans="2:7">
      <c r="B440" s="1" t="s">
        <v>1472</v>
      </c>
      <c r="C440" s="1" t="s">
        <v>1473</v>
      </c>
      <c r="D440" s="1" t="s">
        <v>1725</v>
      </c>
      <c r="E440" s="1">
        <v>55.511339250200002</v>
      </c>
      <c r="G440" s="1"/>
    </row>
    <row r="441" spans="2:7">
      <c r="B441" s="1" t="s">
        <v>1472</v>
      </c>
      <c r="C441" s="1" t="s">
        <v>1473</v>
      </c>
      <c r="D441" s="1" t="s">
        <v>1726</v>
      </c>
      <c r="E441" s="1">
        <v>169.707631776</v>
      </c>
      <c r="G441" s="1"/>
    </row>
    <row r="442" spans="2:7">
      <c r="B442" s="1" t="s">
        <v>1472</v>
      </c>
      <c r="C442" s="1" t="s">
        <v>1473</v>
      </c>
      <c r="D442" s="1" t="s">
        <v>1727</v>
      </c>
      <c r="E442" s="1">
        <v>6086.1607897599997</v>
      </c>
      <c r="G442" s="1"/>
    </row>
    <row r="443" spans="2:7">
      <c r="B443" s="1" t="s">
        <v>1472</v>
      </c>
      <c r="C443" s="1" t="s">
        <v>1473</v>
      </c>
      <c r="D443" s="1" t="s">
        <v>1728</v>
      </c>
      <c r="E443" s="1">
        <v>29539.742007500001</v>
      </c>
      <c r="G443" s="1"/>
    </row>
    <row r="444" spans="2:7">
      <c r="B444" s="1" t="s">
        <v>1472</v>
      </c>
      <c r="C444" s="1" t="s">
        <v>1473</v>
      </c>
      <c r="D444" s="1" t="s">
        <v>1729</v>
      </c>
      <c r="E444" s="1">
        <v>0</v>
      </c>
      <c r="G444" s="1"/>
    </row>
    <row r="445" spans="2:7">
      <c r="B445" s="1" t="s">
        <v>1472</v>
      </c>
      <c r="C445" s="1" t="s">
        <v>1473</v>
      </c>
      <c r="D445" s="1" t="s">
        <v>1730</v>
      </c>
      <c r="E445" s="1">
        <v>0</v>
      </c>
      <c r="G445" s="1"/>
    </row>
    <row r="446" spans="2:7">
      <c r="B446" s="1" t="s">
        <v>1472</v>
      </c>
      <c r="C446" s="1" t="s">
        <v>1473</v>
      </c>
      <c r="D446" s="1" t="s">
        <v>1731</v>
      </c>
      <c r="E446" s="1">
        <v>2379.9852770000002</v>
      </c>
      <c r="G446" s="1"/>
    </row>
    <row r="447" spans="2:7">
      <c r="B447" s="1" t="s">
        <v>1472</v>
      </c>
      <c r="C447" s="1" t="s">
        <v>1473</v>
      </c>
      <c r="D447" s="1" t="s">
        <v>1732</v>
      </c>
      <c r="E447" s="1">
        <v>397574.25142300001</v>
      </c>
      <c r="G447" s="1"/>
    </row>
    <row r="448" spans="2:7">
      <c r="B448" s="1" t="s">
        <v>1472</v>
      </c>
      <c r="C448" s="1" t="s">
        <v>1473</v>
      </c>
      <c r="D448" s="1" t="s">
        <v>1733</v>
      </c>
      <c r="E448" s="1">
        <v>3353.8938358599999</v>
      </c>
      <c r="G448" s="1"/>
    </row>
    <row r="449" spans="2:7">
      <c r="B449" s="1" t="s">
        <v>1472</v>
      </c>
      <c r="C449" s="1" t="s">
        <v>1473</v>
      </c>
      <c r="D449" s="1" t="s">
        <v>1734</v>
      </c>
      <c r="E449" s="1">
        <v>589.72362044199997</v>
      </c>
      <c r="G44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A91C-06C2-9A45-8D2C-3620CED1FB70}">
  <dimension ref="B1:N360"/>
  <sheetViews>
    <sheetView topLeftCell="D240" zoomScale="125" zoomScaleNormal="80" workbookViewId="0">
      <selection activeCell="I254" sqref="I254"/>
    </sheetView>
  </sheetViews>
  <sheetFormatPr defaultColWidth="11" defaultRowHeight="15.6"/>
  <cols>
    <col min="1" max="1" width="3" style="167" customWidth="1"/>
    <col min="2" max="2" width="7.6640625" style="167" customWidth="1"/>
    <col min="3" max="3" width="16.77734375" style="167" customWidth="1"/>
    <col min="4" max="4" width="41.44140625" style="170" customWidth="1"/>
    <col min="5" max="6" width="17" style="171" customWidth="1"/>
    <col min="7" max="7" width="8.77734375" style="1"/>
    <col min="8" max="8" width="66.44140625" style="171" bestFit="1" customWidth="1"/>
    <col min="9" max="9" width="14.33203125" style="1" customWidth="1"/>
    <col min="10" max="10" width="13.33203125" style="167" bestFit="1" customWidth="1"/>
    <col min="11" max="12" width="11" style="167"/>
    <col min="13" max="13" width="16" style="167" customWidth="1"/>
    <col min="14" max="14" width="39.44140625" style="170" customWidth="1"/>
    <col min="15" max="16384" width="11" style="167"/>
  </cols>
  <sheetData>
    <row r="1" spans="2:14" ht="16.2" thickBot="1">
      <c r="B1" s="164" t="s">
        <v>2074</v>
      </c>
      <c r="C1" s="164" t="s">
        <v>2075</v>
      </c>
      <c r="D1" s="165" t="s">
        <v>2076</v>
      </c>
      <c r="E1" s="166" t="s">
        <v>2077</v>
      </c>
      <c r="F1" s="195"/>
      <c r="G1" s="1" t="s">
        <v>0</v>
      </c>
      <c r="H1" s="168" t="s">
        <v>2078</v>
      </c>
      <c r="I1" s="168" t="s">
        <v>2107</v>
      </c>
      <c r="J1" s="168" t="s">
        <v>2108</v>
      </c>
      <c r="N1" s="167"/>
    </row>
    <row r="2" spans="2:14" ht="46.8">
      <c r="B2" s="167" t="s">
        <v>621</v>
      </c>
      <c r="C2" s="169" t="s">
        <v>24</v>
      </c>
      <c r="D2" s="170" t="s">
        <v>2010</v>
      </c>
      <c r="E2" s="171">
        <f>$I$186</f>
        <v>1965044.765975663</v>
      </c>
      <c r="G2" s="1" t="b">
        <v>1</v>
      </c>
      <c r="H2" s="167" t="s">
        <v>1503</v>
      </c>
      <c r="I2" s="128">
        <v>6339.4485997580214</v>
      </c>
      <c r="J2" s="128">
        <v>296693.10647300002</v>
      </c>
    </row>
    <row r="3" spans="2:14" ht="31.2">
      <c r="B3" s="208" t="s">
        <v>650</v>
      </c>
      <c r="C3" s="169" t="s">
        <v>92</v>
      </c>
      <c r="D3" s="170" t="s">
        <v>2011</v>
      </c>
      <c r="E3" s="171">
        <f>I5+I8+I90</f>
        <v>863580.75032764929</v>
      </c>
      <c r="G3" s="1" t="b">
        <v>1</v>
      </c>
      <c r="H3" s="167" t="s">
        <v>1705</v>
      </c>
      <c r="I3" s="128">
        <v>160.8997149315594</v>
      </c>
      <c r="J3" s="128">
        <v>161.52186769599999</v>
      </c>
    </row>
    <row r="4" spans="2:14" ht="31.2">
      <c r="B4" s="167" t="s">
        <v>651</v>
      </c>
      <c r="C4" s="170" t="s">
        <v>193</v>
      </c>
      <c r="D4" s="170" t="s">
        <v>2079</v>
      </c>
      <c r="E4" s="171">
        <f>$I$286+$I$179</f>
        <v>1039603.2760309193</v>
      </c>
      <c r="G4" s="1" t="b">
        <v>0</v>
      </c>
      <c r="H4" s="167" t="s">
        <v>1690</v>
      </c>
      <c r="I4" s="128">
        <v>23465.3045509398</v>
      </c>
      <c r="J4" s="128">
        <v>192075.68685200001</v>
      </c>
      <c r="N4" s="167"/>
    </row>
    <row r="5" spans="2:14" ht="31.2">
      <c r="B5" s="167" t="s">
        <v>652</v>
      </c>
      <c r="C5" s="170" t="s">
        <v>235</v>
      </c>
      <c r="D5" s="170" t="s">
        <v>236</v>
      </c>
      <c r="E5" s="171">
        <f>$I$90</f>
        <v>857216.50823962234</v>
      </c>
      <c r="G5" s="1" t="b">
        <v>1</v>
      </c>
      <c r="H5" s="167" t="s">
        <v>1691</v>
      </c>
      <c r="I5" s="128">
        <v>5113.4402872948522</v>
      </c>
      <c r="J5" s="128">
        <v>71174.752588999996</v>
      </c>
    </row>
    <row r="6" spans="2:14" ht="31.2">
      <c r="B6" s="167" t="s">
        <v>653</v>
      </c>
      <c r="C6" s="169" t="s">
        <v>68</v>
      </c>
      <c r="D6" s="170" t="s">
        <v>69</v>
      </c>
      <c r="E6" s="171">
        <f>$I$357+$I$259</f>
        <v>95094.672795695806</v>
      </c>
      <c r="G6" s="1" t="b">
        <v>1</v>
      </c>
      <c r="H6" s="167" t="s">
        <v>1692</v>
      </c>
      <c r="I6" s="128">
        <v>16167.79129660037</v>
      </c>
      <c r="J6" s="128">
        <v>111434.541377</v>
      </c>
    </row>
    <row r="7" spans="2:14" ht="31.2">
      <c r="B7" s="167" t="s">
        <v>654</v>
      </c>
      <c r="C7" s="169" t="s">
        <v>288</v>
      </c>
      <c r="D7" s="170" t="s">
        <v>2080</v>
      </c>
      <c r="E7" s="171">
        <f>$I$212</f>
        <v>1812266.1463656269</v>
      </c>
      <c r="G7" s="1" t="b">
        <v>1</v>
      </c>
      <c r="H7" s="167" t="s">
        <v>1599</v>
      </c>
      <c r="I7" s="128">
        <v>933.27116631252841</v>
      </c>
      <c r="J7" s="128">
        <v>3496.2209208099998</v>
      </c>
    </row>
    <row r="8" spans="2:14" ht="109.2">
      <c r="B8" s="167" t="s">
        <v>656</v>
      </c>
      <c r="C8" s="169" t="s">
        <v>58</v>
      </c>
      <c r="D8" s="170" t="s">
        <v>59</v>
      </c>
      <c r="E8" s="171">
        <f>$I$94+$I$358+$I$328+$I$337+$I$193+$I$6+$I$64+$I$174+$I$137</f>
        <v>617803.9222125503</v>
      </c>
      <c r="G8" s="1" t="b">
        <v>1</v>
      </c>
      <c r="H8" s="167" t="s">
        <v>1600</v>
      </c>
      <c r="I8" s="128">
        <v>1250.8018007320541</v>
      </c>
      <c r="J8" s="128">
        <v>5970.1719652100001</v>
      </c>
    </row>
    <row r="9" spans="2:14" ht="31.2">
      <c r="B9" s="167" t="s">
        <v>657</v>
      </c>
      <c r="C9" s="169" t="s">
        <v>123</v>
      </c>
      <c r="D9" s="170" t="s">
        <v>124</v>
      </c>
      <c r="E9" s="171">
        <f>$I$182</f>
        <v>1112317.6610511751</v>
      </c>
      <c r="G9" s="1" t="b">
        <v>1</v>
      </c>
      <c r="H9" s="167" t="s">
        <v>616</v>
      </c>
      <c r="I9" s="128">
        <v>3586.2692927707872</v>
      </c>
      <c r="J9" s="128">
        <v>298.44657839500002</v>
      </c>
    </row>
    <row r="10" spans="2:14" ht="43.2">
      <c r="B10" s="208" t="s">
        <v>658</v>
      </c>
      <c r="C10" s="2" t="s">
        <v>344</v>
      </c>
      <c r="D10" s="2" t="s">
        <v>2015</v>
      </c>
      <c r="E10" s="171">
        <f>I231</f>
        <v>48572.254021391462</v>
      </c>
      <c r="G10" s="1" t="b">
        <v>1</v>
      </c>
      <c r="H10" s="167" t="s">
        <v>1723</v>
      </c>
      <c r="I10" s="128">
        <v>8871.8928891754222</v>
      </c>
      <c r="J10" s="128">
        <v>288.63956635300002</v>
      </c>
      <c r="N10" s="167"/>
    </row>
    <row r="11" spans="2:14" ht="43.2">
      <c r="B11" s="208" t="s">
        <v>659</v>
      </c>
      <c r="C11" s="2" t="s">
        <v>413</v>
      </c>
      <c r="D11" s="2" t="s">
        <v>1681</v>
      </c>
      <c r="E11" s="171">
        <f>I39</f>
        <v>81126.73803709184</v>
      </c>
      <c r="G11" s="1" t="b">
        <v>1</v>
      </c>
      <c r="H11" s="167" t="s">
        <v>1580</v>
      </c>
      <c r="I11" s="128">
        <v>41566.290875961982</v>
      </c>
      <c r="J11" s="128">
        <v>3663.0854950799999</v>
      </c>
    </row>
    <row r="12" spans="2:14" ht="46.8">
      <c r="B12" s="167" t="s">
        <v>622</v>
      </c>
      <c r="C12" s="169" t="s">
        <v>72</v>
      </c>
      <c r="D12" s="170" t="s">
        <v>1612</v>
      </c>
      <c r="E12" s="171">
        <f>$I$214</f>
        <v>719833.6664909895</v>
      </c>
      <c r="F12" s="172"/>
      <c r="G12" s="1" t="b">
        <v>1</v>
      </c>
      <c r="H12" s="167" t="s">
        <v>1545</v>
      </c>
      <c r="I12" s="128">
        <v>0</v>
      </c>
      <c r="J12" s="128">
        <v>0</v>
      </c>
      <c r="M12" s="173"/>
      <c r="N12" s="174"/>
    </row>
    <row r="13" spans="2:14" ht="43.2">
      <c r="B13" s="208" t="s">
        <v>660</v>
      </c>
      <c r="C13" s="2" t="s">
        <v>399</v>
      </c>
      <c r="D13" s="209" t="s">
        <v>2121</v>
      </c>
      <c r="E13" s="171">
        <f>I49</f>
        <v>18719.08978635833</v>
      </c>
      <c r="G13" s="1" t="b">
        <v>1</v>
      </c>
      <c r="H13" s="167" t="s">
        <v>1511</v>
      </c>
      <c r="I13" s="128">
        <v>71246.13467238532</v>
      </c>
      <c r="J13" s="128">
        <v>2502957.8382999999</v>
      </c>
    </row>
    <row r="14" spans="2:14" ht="46.8">
      <c r="B14" s="170" t="s">
        <v>661</v>
      </c>
      <c r="C14" s="170" t="s">
        <v>162</v>
      </c>
      <c r="D14" s="170" t="s">
        <v>2016</v>
      </c>
      <c r="E14" s="171">
        <f>$I$180+$I$229+$I$306+$I$333+$I$119</f>
        <v>58095.193024544504</v>
      </c>
      <c r="G14" s="1" t="b">
        <v>1</v>
      </c>
      <c r="H14" s="167" t="s">
        <v>1510</v>
      </c>
      <c r="I14" s="128">
        <v>746.2103013931079</v>
      </c>
      <c r="J14" s="128">
        <v>7841.7878763899998</v>
      </c>
    </row>
    <row r="15" spans="2:14" ht="28.8">
      <c r="B15" s="210" t="s">
        <v>675</v>
      </c>
      <c r="C15" s="2" t="s">
        <v>90</v>
      </c>
      <c r="D15" s="210" t="s">
        <v>343</v>
      </c>
      <c r="E15" s="211">
        <f>I155</f>
        <v>139465.81411610241</v>
      </c>
      <c r="G15" s="1" t="b">
        <v>1</v>
      </c>
      <c r="H15" s="167" t="s">
        <v>493</v>
      </c>
      <c r="I15" s="128">
        <v>32343.397199354578</v>
      </c>
      <c r="J15" s="128">
        <v>213202.97149600001</v>
      </c>
    </row>
    <row r="16" spans="2:14" ht="62.4">
      <c r="B16" s="167" t="s">
        <v>677</v>
      </c>
      <c r="C16" s="169" t="s">
        <v>142</v>
      </c>
      <c r="D16" s="170" t="s">
        <v>464</v>
      </c>
      <c r="E16" s="171">
        <f>$I$188</f>
        <v>152778.61961003591</v>
      </c>
      <c r="G16" s="1" t="b">
        <v>1</v>
      </c>
      <c r="H16" s="167" t="s">
        <v>1731</v>
      </c>
      <c r="I16" s="128">
        <v>1963.797642988588</v>
      </c>
      <c r="J16" s="128">
        <v>2379.9852770000002</v>
      </c>
    </row>
    <row r="17" spans="2:14" ht="46.8">
      <c r="B17" s="167" t="s">
        <v>686</v>
      </c>
      <c r="C17" s="169" t="s">
        <v>62</v>
      </c>
      <c r="D17" s="170" t="s">
        <v>69</v>
      </c>
      <c r="E17" s="171">
        <f>$I$141</f>
        <v>20765.6346306384</v>
      </c>
      <c r="F17" s="175"/>
      <c r="G17" s="1" t="b">
        <v>0</v>
      </c>
      <c r="H17" s="167" t="s">
        <v>2082</v>
      </c>
      <c r="I17" s="128">
        <v>12579140.09742525</v>
      </c>
      <c r="J17" s="128">
        <v>24369384.851100001</v>
      </c>
      <c r="N17" s="167"/>
    </row>
    <row r="18" spans="2:14" ht="43.2">
      <c r="B18" s="208" t="s">
        <v>687</v>
      </c>
      <c r="C18" s="2" t="s">
        <v>356</v>
      </c>
      <c r="D18" s="209" t="s">
        <v>310</v>
      </c>
      <c r="E18" s="171">
        <f>$I$141</f>
        <v>20765.6346306384</v>
      </c>
      <c r="F18" s="176"/>
      <c r="G18" s="1" t="b">
        <v>1</v>
      </c>
      <c r="H18" s="167" t="s">
        <v>1504</v>
      </c>
      <c r="I18" s="128">
        <v>1342.414904186998</v>
      </c>
      <c r="J18" s="128">
        <v>40957.822591600001</v>
      </c>
    </row>
    <row r="19" spans="2:14" ht="57.6">
      <c r="B19" s="208" t="s">
        <v>623</v>
      </c>
      <c r="C19" s="2" t="s">
        <v>152</v>
      </c>
      <c r="D19" s="2" t="s">
        <v>2017</v>
      </c>
      <c r="E19" s="171">
        <f>I188+I212+I213+I214+I254</f>
        <v>3488956.1967830784</v>
      </c>
      <c r="G19" s="1" t="b">
        <v>1</v>
      </c>
      <c r="H19" s="167" t="s">
        <v>1563</v>
      </c>
      <c r="I19" s="128">
        <v>27067.49159023882</v>
      </c>
      <c r="J19" s="128">
        <v>29671.1452771</v>
      </c>
    </row>
    <row r="20" spans="2:14" ht="31.2">
      <c r="B20" s="167" t="s">
        <v>688</v>
      </c>
      <c r="C20" s="167" t="s">
        <v>204</v>
      </c>
      <c r="D20" s="170" t="s">
        <v>2018</v>
      </c>
      <c r="E20" s="171">
        <f>$I$145</f>
        <v>104927.3054330778</v>
      </c>
      <c r="G20" s="1" t="b">
        <v>1</v>
      </c>
      <c r="H20" s="167" t="s">
        <v>1571</v>
      </c>
      <c r="I20" s="128">
        <v>1036.9413285121041</v>
      </c>
      <c r="J20" s="128">
        <v>5953.0100846900004</v>
      </c>
    </row>
    <row r="21" spans="2:14" ht="46.8">
      <c r="B21" s="167" t="s">
        <v>689</v>
      </c>
      <c r="C21" s="170" t="s">
        <v>393</v>
      </c>
      <c r="D21" s="170" t="s">
        <v>2019</v>
      </c>
      <c r="E21" s="175">
        <f>$I$323</f>
        <v>84267.973997834488</v>
      </c>
      <c r="G21" s="1" t="b">
        <v>0</v>
      </c>
      <c r="H21" s="167" t="s">
        <v>1581</v>
      </c>
      <c r="I21" s="128">
        <v>23808.32272043392</v>
      </c>
      <c r="J21" s="128">
        <v>86296.786390100009</v>
      </c>
    </row>
    <row r="22" spans="2:14" ht="31.2">
      <c r="B22" s="167" t="s">
        <v>690</v>
      </c>
      <c r="C22" s="169" t="s">
        <v>264</v>
      </c>
      <c r="D22" s="170" t="s">
        <v>320</v>
      </c>
      <c r="E22" s="176">
        <f>$I$337</f>
        <v>348478.83892033168</v>
      </c>
      <c r="G22" s="1" t="b">
        <v>1</v>
      </c>
      <c r="H22" s="167" t="s">
        <v>1699</v>
      </c>
      <c r="I22" s="128">
        <v>1657.2227846134831</v>
      </c>
      <c r="J22" s="128">
        <v>7765.0477404399999</v>
      </c>
    </row>
    <row r="23" spans="2:14" ht="31.2">
      <c r="B23" s="170" t="s">
        <v>717</v>
      </c>
      <c r="C23" s="170" t="s">
        <v>351</v>
      </c>
      <c r="D23" s="170" t="s">
        <v>330</v>
      </c>
      <c r="E23" s="171">
        <f>$I$182</f>
        <v>1112317.6610511751</v>
      </c>
      <c r="G23" s="1" t="b">
        <v>1</v>
      </c>
      <c r="H23" s="167" t="s">
        <v>1697</v>
      </c>
      <c r="I23" s="128">
        <v>63232.739110050206</v>
      </c>
      <c r="J23" s="128">
        <v>656014.7232270001</v>
      </c>
    </row>
    <row r="24" spans="2:14" ht="46.8">
      <c r="B24" s="167" t="s">
        <v>718</v>
      </c>
      <c r="C24" s="170" t="s">
        <v>328</v>
      </c>
      <c r="D24" s="170" t="s">
        <v>2081</v>
      </c>
      <c r="E24" s="171">
        <f>$I$182+$I$83+$I$360+$I$104+$I$359</f>
        <v>1137160.0260271679</v>
      </c>
      <c r="G24" s="1" t="b">
        <v>1</v>
      </c>
      <c r="H24" s="167" t="s">
        <v>2085</v>
      </c>
      <c r="I24" s="128">
        <v>4414.7848675071691</v>
      </c>
      <c r="J24" s="128">
        <v>0</v>
      </c>
    </row>
    <row r="25" spans="2:14" ht="46.8">
      <c r="B25" s="167" t="s">
        <v>719</v>
      </c>
      <c r="C25" s="169" t="s">
        <v>81</v>
      </c>
      <c r="D25" s="170" t="s">
        <v>124</v>
      </c>
      <c r="E25" s="171">
        <f>$I$182</f>
        <v>1112317.6610511751</v>
      </c>
      <c r="G25" s="1" t="b">
        <v>1</v>
      </c>
      <c r="H25" s="167" t="s">
        <v>529</v>
      </c>
      <c r="I25" s="128">
        <v>10188.968087978839</v>
      </c>
      <c r="J25" s="128">
        <v>2852.4962150900001</v>
      </c>
    </row>
    <row r="26" spans="2:14" ht="43.2">
      <c r="B26" s="208" t="s">
        <v>720</v>
      </c>
      <c r="C26" s="2" t="s">
        <v>197</v>
      </c>
      <c r="D26" s="209" t="s">
        <v>330</v>
      </c>
      <c r="E26" s="171">
        <f>$I$182</f>
        <v>1112317.6610511751</v>
      </c>
      <c r="G26" s="1" t="b">
        <v>1</v>
      </c>
      <c r="H26" s="167" t="s">
        <v>1495</v>
      </c>
      <c r="I26" s="128">
        <v>35.893315894538141</v>
      </c>
      <c r="J26" s="128">
        <v>126.870587046</v>
      </c>
    </row>
    <row r="27" spans="2:14" ht="31.2">
      <c r="B27" s="167" t="s">
        <v>721</v>
      </c>
      <c r="C27" s="170" t="s">
        <v>364</v>
      </c>
      <c r="D27" s="170" t="s">
        <v>2083</v>
      </c>
      <c r="E27" s="171">
        <f>$I$182</f>
        <v>1112317.6610511751</v>
      </c>
      <c r="G27" s="1" t="b">
        <v>1</v>
      </c>
      <c r="H27" s="167" t="s">
        <v>1525</v>
      </c>
      <c r="I27" s="128">
        <v>5461.7988903874557</v>
      </c>
      <c r="J27" s="128">
        <v>961967.92160900007</v>
      </c>
      <c r="N27" s="167"/>
    </row>
    <row r="28" spans="2:14" ht="46.8">
      <c r="B28" s="170" t="s">
        <v>722</v>
      </c>
      <c r="C28" s="169" t="s">
        <v>201</v>
      </c>
      <c r="D28" s="170" t="s">
        <v>2084</v>
      </c>
      <c r="E28" s="171">
        <f>$I$182</f>
        <v>1112317.6610511751</v>
      </c>
      <c r="F28" s="175"/>
      <c r="G28" s="1" t="b">
        <v>1</v>
      </c>
      <c r="H28" s="167" t="s">
        <v>455</v>
      </c>
      <c r="I28" s="128">
        <v>78970.889200861828</v>
      </c>
      <c r="J28" s="128">
        <v>904182.26907299994</v>
      </c>
      <c r="M28" s="177"/>
      <c r="N28" s="178"/>
    </row>
    <row r="29" spans="2:14" ht="46.8">
      <c r="B29" s="170" t="s">
        <v>723</v>
      </c>
      <c r="C29" s="169" t="s">
        <v>54</v>
      </c>
      <c r="D29" s="170" t="s">
        <v>55</v>
      </c>
      <c r="E29" s="171">
        <f>$I$182</f>
        <v>1112317.6610511751</v>
      </c>
      <c r="F29" s="175"/>
      <c r="G29" s="1" t="b">
        <v>1</v>
      </c>
      <c r="H29" s="167" t="s">
        <v>1677</v>
      </c>
      <c r="I29" s="128">
        <v>38536.890552441153</v>
      </c>
      <c r="J29" s="128">
        <v>876761.84207199991</v>
      </c>
      <c r="M29" s="179"/>
      <c r="N29" s="180"/>
    </row>
    <row r="30" spans="2:14" ht="31.2">
      <c r="B30" s="167" t="s">
        <v>641</v>
      </c>
      <c r="C30" s="169" t="s">
        <v>202</v>
      </c>
      <c r="D30" s="170" t="s">
        <v>2086</v>
      </c>
      <c r="E30" s="171">
        <f>$I$215+$I$228</f>
        <v>753950.69944818353</v>
      </c>
      <c r="G30" s="1" t="b">
        <v>1</v>
      </c>
      <c r="H30" s="167" t="s">
        <v>1489</v>
      </c>
      <c r="I30" s="128">
        <v>5086.0441141410092</v>
      </c>
      <c r="J30" s="128">
        <v>30120.005928400009</v>
      </c>
    </row>
    <row r="31" spans="2:14" ht="43.2">
      <c r="B31" s="208" t="s">
        <v>725</v>
      </c>
      <c r="C31" s="2" t="s">
        <v>380</v>
      </c>
      <c r="D31" s="209" t="s">
        <v>330</v>
      </c>
      <c r="E31" s="171">
        <f>$I$182</f>
        <v>1112317.6610511751</v>
      </c>
      <c r="H31" s="167"/>
      <c r="I31" s="128">
        <v>4739.9588643445841</v>
      </c>
      <c r="J31" s="128">
        <v>391914.18557799998</v>
      </c>
    </row>
    <row r="32" spans="2:14" ht="46.8">
      <c r="B32" s="167" t="s">
        <v>727</v>
      </c>
      <c r="C32" s="169" t="s">
        <v>338</v>
      </c>
      <c r="D32" s="170" t="s">
        <v>2021</v>
      </c>
      <c r="E32" s="171">
        <f>$I$50+$I$12+$I$169+$I$168</f>
        <v>451.30084126669931</v>
      </c>
      <c r="G32" s="1" t="b">
        <v>1</v>
      </c>
      <c r="H32" s="167" t="s">
        <v>486</v>
      </c>
      <c r="I32" s="128">
        <v>17407.662800837541</v>
      </c>
      <c r="J32" s="128">
        <v>114342.711238</v>
      </c>
    </row>
    <row r="33" spans="2:14" ht="31.2">
      <c r="B33" s="167" t="s">
        <v>728</v>
      </c>
      <c r="C33" s="170" t="s">
        <v>407</v>
      </c>
      <c r="G33" s="1" t="b">
        <v>1</v>
      </c>
      <c r="H33" s="167" t="s">
        <v>1701</v>
      </c>
      <c r="I33" s="128">
        <v>12109.503834473329</v>
      </c>
      <c r="J33" s="128">
        <v>87364.015732100015</v>
      </c>
    </row>
    <row r="34" spans="2:14" ht="46.8">
      <c r="B34" s="170" t="s">
        <v>736</v>
      </c>
      <c r="C34" s="170" t="s">
        <v>348</v>
      </c>
      <c r="D34" s="170" t="s">
        <v>350</v>
      </c>
      <c r="E34" s="171">
        <f>$I$61</f>
        <v>198516.93115000171</v>
      </c>
      <c r="G34" s="1" t="b">
        <v>1</v>
      </c>
      <c r="H34" s="167" t="s">
        <v>1667</v>
      </c>
      <c r="I34" s="128">
        <v>0</v>
      </c>
      <c r="J34" s="128">
        <v>56.513985021899998</v>
      </c>
    </row>
    <row r="35" spans="2:14" ht="46.8">
      <c r="B35" s="167" t="s">
        <v>761</v>
      </c>
      <c r="C35" s="169" t="s">
        <v>403</v>
      </c>
      <c r="D35" s="170" t="s">
        <v>404</v>
      </c>
      <c r="E35" s="171">
        <f>$I$198</f>
        <v>157362.34925250319</v>
      </c>
      <c r="G35" s="1" t="b">
        <v>1</v>
      </c>
      <c r="H35" s="167" t="s">
        <v>1712</v>
      </c>
      <c r="I35" s="128">
        <v>0</v>
      </c>
      <c r="J35" s="128">
        <v>232.01979482300001</v>
      </c>
    </row>
    <row r="36" spans="2:14" ht="31.2">
      <c r="B36" s="167" t="s">
        <v>645</v>
      </c>
      <c r="C36" s="169" t="s">
        <v>268</v>
      </c>
      <c r="D36" s="170" t="s">
        <v>406</v>
      </c>
      <c r="E36" s="171">
        <f>$I$328</f>
        <v>10344.105616084211</v>
      </c>
      <c r="G36" s="1" t="b">
        <v>1</v>
      </c>
      <c r="H36" s="167" t="s">
        <v>457</v>
      </c>
      <c r="I36" s="128">
        <v>5669.1848864164431</v>
      </c>
      <c r="J36" s="128">
        <v>173734.240945</v>
      </c>
    </row>
    <row r="37" spans="2:14" ht="46.8">
      <c r="B37" s="167" t="s">
        <v>781</v>
      </c>
      <c r="C37" s="170" t="s">
        <v>384</v>
      </c>
      <c r="D37" s="170" t="s">
        <v>343</v>
      </c>
      <c r="E37" s="171">
        <f>$I$155</f>
        <v>139465.81411610241</v>
      </c>
      <c r="G37" s="1" t="b">
        <v>1</v>
      </c>
      <c r="H37" s="167" t="s">
        <v>1641</v>
      </c>
      <c r="I37" s="128">
        <v>27372.372211004818</v>
      </c>
      <c r="J37" s="128">
        <v>133315.594438</v>
      </c>
    </row>
    <row r="38" spans="2:14" ht="46.8">
      <c r="B38" s="167" t="s">
        <v>834</v>
      </c>
      <c r="C38" s="170" t="s">
        <v>290</v>
      </c>
      <c r="D38" s="170" t="s">
        <v>2022</v>
      </c>
      <c r="E38" s="171">
        <f>$I$108</f>
        <v>1050364.072724961</v>
      </c>
      <c r="G38" s="1" t="b">
        <v>0</v>
      </c>
      <c r="H38" s="167" t="s">
        <v>1681</v>
      </c>
      <c r="I38" s="128">
        <v>5635.967645004016</v>
      </c>
      <c r="J38" s="128">
        <v>1528.4363487400001</v>
      </c>
    </row>
    <row r="39" spans="2:14" ht="100.8">
      <c r="B39" s="208" t="s">
        <v>782</v>
      </c>
      <c r="C39" s="2" t="s">
        <v>323</v>
      </c>
      <c r="D39" s="2" t="s">
        <v>2023</v>
      </c>
      <c r="E39" s="171">
        <f>I60+I148+I160</f>
        <v>107648.34148050314</v>
      </c>
      <c r="G39" s="1" t="b">
        <v>1</v>
      </c>
      <c r="H39" s="167" t="s">
        <v>1642</v>
      </c>
      <c r="I39" s="128">
        <v>81126.73803709184</v>
      </c>
      <c r="J39" s="128">
        <v>3339250.4569100002</v>
      </c>
    </row>
    <row r="40" spans="2:14" ht="43.2">
      <c r="B40" s="208" t="s">
        <v>783</v>
      </c>
      <c r="C40" s="2" t="s">
        <v>336</v>
      </c>
      <c r="D40" s="2" t="s">
        <v>2024</v>
      </c>
      <c r="F40" s="175"/>
      <c r="G40" s="1" t="b">
        <v>1</v>
      </c>
      <c r="H40" s="167" t="s">
        <v>611</v>
      </c>
      <c r="I40" s="128">
        <v>7759.2374096952781</v>
      </c>
      <c r="J40" s="128">
        <v>573.30033750400003</v>
      </c>
    </row>
    <row r="41" spans="2:14" ht="46.8">
      <c r="B41" s="167" t="s">
        <v>784</v>
      </c>
      <c r="C41" s="169" t="s">
        <v>241</v>
      </c>
      <c r="D41" s="170" t="s">
        <v>2087</v>
      </c>
      <c r="E41" s="171">
        <f>$I$321+$I$205+$I$204+$I$278+$I$199</f>
        <v>533972.72951705812</v>
      </c>
      <c r="G41" s="1" t="b">
        <v>1</v>
      </c>
      <c r="H41" s="167" t="s">
        <v>1700</v>
      </c>
      <c r="I41" s="128">
        <v>41176.239245183308</v>
      </c>
      <c r="J41" s="128">
        <v>12190.0060644</v>
      </c>
    </row>
    <row r="42" spans="2:14" ht="46.8">
      <c r="B42" s="167" t="s">
        <v>788</v>
      </c>
      <c r="C42" s="170" t="s">
        <v>409</v>
      </c>
      <c r="D42" s="170" t="s">
        <v>2026</v>
      </c>
      <c r="E42" s="171">
        <f>$I$205+$I$204+$I$199</f>
        <v>263493.06987643754</v>
      </c>
      <c r="G42" s="1" t="b">
        <v>0</v>
      </c>
      <c r="H42" s="167" t="s">
        <v>522</v>
      </c>
      <c r="I42" s="128">
        <v>747.5628720677355</v>
      </c>
      <c r="J42" s="128">
        <v>25606.063845600002</v>
      </c>
    </row>
    <row r="43" spans="2:14" ht="62.4">
      <c r="B43" s="167" t="s">
        <v>789</v>
      </c>
      <c r="C43" s="170" t="s">
        <v>411</v>
      </c>
      <c r="D43" s="170" t="s">
        <v>601</v>
      </c>
      <c r="E43" s="171">
        <f>$I$205</f>
        <v>262448.99049626233</v>
      </c>
      <c r="F43" s="175"/>
      <c r="G43" s="1" t="b">
        <v>0</v>
      </c>
      <c r="H43" s="167" t="s">
        <v>453</v>
      </c>
      <c r="I43" s="128">
        <v>21121.279214217771</v>
      </c>
      <c r="J43" s="128">
        <v>10102.5346529</v>
      </c>
    </row>
    <row r="44" spans="2:14" ht="28.8">
      <c r="B44" s="208" t="s">
        <v>643</v>
      </c>
      <c r="C44" s="2" t="s">
        <v>354</v>
      </c>
      <c r="D44" s="209" t="s">
        <v>310</v>
      </c>
      <c r="E44" s="171">
        <f>$I$141</f>
        <v>20765.6346306384</v>
      </c>
      <c r="F44" s="181"/>
      <c r="G44" s="1" t="b">
        <v>1</v>
      </c>
      <c r="H44" s="167" t="s">
        <v>1515</v>
      </c>
      <c r="I44" s="128">
        <v>729540.45344384026</v>
      </c>
      <c r="J44" s="128">
        <v>792469.14391099999</v>
      </c>
    </row>
    <row r="45" spans="2:14" ht="31.2">
      <c r="B45" s="167" t="s">
        <v>640</v>
      </c>
      <c r="C45" s="169" t="s">
        <v>140</v>
      </c>
      <c r="D45" s="170" t="s">
        <v>330</v>
      </c>
      <c r="E45" s="171">
        <f>$I$182</f>
        <v>1112317.6610511751</v>
      </c>
      <c r="F45" s="181"/>
      <c r="G45" s="1" t="b">
        <v>1</v>
      </c>
      <c r="H45" s="167" t="s">
        <v>345</v>
      </c>
      <c r="I45" s="128">
        <v>537.70571899702816</v>
      </c>
      <c r="J45" s="128">
        <v>2312038.48734</v>
      </c>
      <c r="M45" s="179"/>
      <c r="N45" s="180"/>
    </row>
    <row r="46" spans="2:14" ht="46.8">
      <c r="B46" s="167" t="s">
        <v>665</v>
      </c>
      <c r="C46" s="169" t="s">
        <v>16</v>
      </c>
      <c r="D46" s="170" t="s">
        <v>1614</v>
      </c>
      <c r="E46" s="171">
        <f>$I$294</f>
        <v>195893.3779221455</v>
      </c>
      <c r="F46" s="181"/>
      <c r="G46" s="1" t="b">
        <v>1</v>
      </c>
      <c r="H46" s="167" t="s">
        <v>599</v>
      </c>
      <c r="I46" s="128">
        <v>3234.8683897146029</v>
      </c>
      <c r="J46" s="128">
        <v>5509291.3074900014</v>
      </c>
      <c r="M46" s="179"/>
      <c r="N46" s="180"/>
    </row>
    <row r="47" spans="2:14" ht="46.8">
      <c r="B47" s="167" t="s">
        <v>666</v>
      </c>
      <c r="C47" s="170" t="s">
        <v>134</v>
      </c>
      <c r="D47" s="170" t="s">
        <v>2028</v>
      </c>
      <c r="E47" s="171">
        <f>$I$182+$I$90+$I$179</f>
        <v>2962982.3215273418</v>
      </c>
      <c r="G47" s="1" t="b">
        <v>1</v>
      </c>
      <c r="H47" s="167" t="s">
        <v>429</v>
      </c>
      <c r="I47" s="128">
        <v>19735.342637901151</v>
      </c>
      <c r="J47" s="128">
        <v>193674.051106</v>
      </c>
      <c r="M47" s="179"/>
      <c r="N47" s="180"/>
    </row>
    <row r="48" spans="2:14" ht="46.8">
      <c r="B48" s="167" t="s">
        <v>624</v>
      </c>
      <c r="C48" s="170" t="s">
        <v>542</v>
      </c>
      <c r="D48" s="170" t="s">
        <v>2029</v>
      </c>
      <c r="E48" s="175">
        <f>$I$294+$I$249+$I$254</f>
        <v>368478.35055742896</v>
      </c>
      <c r="G48" s="1" t="b">
        <v>1</v>
      </c>
      <c r="H48" s="167" t="s">
        <v>400</v>
      </c>
      <c r="I48" s="128">
        <v>1564.104490028556</v>
      </c>
      <c r="J48" s="128">
        <v>5279.8652124199998</v>
      </c>
    </row>
    <row r="49" spans="2:14" ht="46.8">
      <c r="B49" s="167" t="s">
        <v>646</v>
      </c>
      <c r="C49" s="169" t="s">
        <v>258</v>
      </c>
      <c r="D49" s="170" t="s">
        <v>1683</v>
      </c>
      <c r="E49" s="171">
        <f>$I$185</f>
        <v>11665.358274445351</v>
      </c>
      <c r="G49" s="1" t="b">
        <v>0</v>
      </c>
      <c r="H49" s="167" t="s">
        <v>1541</v>
      </c>
      <c r="I49" s="128">
        <v>18719.08978635833</v>
      </c>
      <c r="J49" s="128">
        <v>6161.5403906000001</v>
      </c>
      <c r="M49" s="177"/>
      <c r="N49" s="178"/>
    </row>
    <row r="50" spans="2:14" ht="93.6">
      <c r="B50" s="167" t="s">
        <v>667</v>
      </c>
      <c r="C50" s="170" t="s">
        <v>52</v>
      </c>
      <c r="D50" s="170" t="s">
        <v>2030</v>
      </c>
      <c r="E50" s="171">
        <f>$I$179+$I$346+$I$90+$I$182+$I$141+$I$98+$I$115+$I$202+$I$360+$I$83+$I$101</f>
        <v>3352421.2875764542</v>
      </c>
      <c r="G50" s="1" t="b">
        <v>1</v>
      </c>
      <c r="H50" s="167" t="s">
        <v>1620</v>
      </c>
      <c r="I50" s="128">
        <v>0</v>
      </c>
      <c r="J50" s="128">
        <v>0</v>
      </c>
    </row>
    <row r="51" spans="2:14" ht="46.8">
      <c r="B51" s="167" t="s">
        <v>668</v>
      </c>
      <c r="C51" s="169" t="s">
        <v>245</v>
      </c>
      <c r="D51" s="170" t="s">
        <v>1614</v>
      </c>
      <c r="E51" s="171">
        <f>$I$294</f>
        <v>195893.3779221455</v>
      </c>
      <c r="G51" s="1" t="b">
        <v>0</v>
      </c>
      <c r="H51" s="167" t="s">
        <v>496</v>
      </c>
      <c r="I51" s="128">
        <v>1191.3345271461039</v>
      </c>
      <c r="J51" s="128">
        <v>342435.20804599999</v>
      </c>
    </row>
    <row r="52" spans="2:14" ht="46.8">
      <c r="B52" s="167" t="s">
        <v>678</v>
      </c>
      <c r="C52" s="170" t="s">
        <v>544</v>
      </c>
      <c r="D52" s="170" t="s">
        <v>400</v>
      </c>
      <c r="E52" s="175">
        <f>$I$49</f>
        <v>18719.08978635833</v>
      </c>
      <c r="G52" s="1" t="b">
        <v>1</v>
      </c>
      <c r="H52" s="167" t="s">
        <v>1685</v>
      </c>
      <c r="I52" s="128">
        <v>124641.7044111049</v>
      </c>
      <c r="J52" s="128">
        <v>1642665.98116</v>
      </c>
    </row>
    <row r="53" spans="2:14" ht="46.8">
      <c r="B53" s="167" t="s">
        <v>679</v>
      </c>
      <c r="C53" s="169" t="s">
        <v>131</v>
      </c>
      <c r="D53" s="170" t="s">
        <v>2031</v>
      </c>
      <c r="E53" s="181">
        <f>$I$185+$I$151+$I$166+$I$102</f>
        <v>67838.496111684974</v>
      </c>
      <c r="G53" s="1" t="b">
        <v>1</v>
      </c>
      <c r="H53" s="167" t="s">
        <v>1686</v>
      </c>
      <c r="I53" s="128">
        <v>7269.887023306097</v>
      </c>
      <c r="J53" s="128">
        <v>7970.1278225400001</v>
      </c>
      <c r="M53" s="180"/>
      <c r="N53" s="180"/>
    </row>
    <row r="54" spans="2:14" ht="46.8">
      <c r="B54" s="167" t="s">
        <v>680</v>
      </c>
      <c r="C54" s="169" t="s">
        <v>283</v>
      </c>
      <c r="D54" s="170" t="s">
        <v>2031</v>
      </c>
      <c r="E54" s="181">
        <f>$I$185+$I$151+$I$166+$I$102</f>
        <v>67838.496111684974</v>
      </c>
      <c r="G54" s="1" t="b">
        <v>1</v>
      </c>
      <c r="H54" s="167" t="s">
        <v>1707</v>
      </c>
      <c r="I54" s="128">
        <v>11170.24143370707</v>
      </c>
      <c r="J54" s="128">
        <v>249552.044295</v>
      </c>
    </row>
    <row r="55" spans="2:14" ht="46.8">
      <c r="B55" s="167" t="s">
        <v>681</v>
      </c>
      <c r="C55" s="169" t="s">
        <v>287</v>
      </c>
      <c r="D55" s="170" t="s">
        <v>2031</v>
      </c>
      <c r="E55" s="181">
        <f>$I$185+$I$151+$I$166+$I$102</f>
        <v>67838.496111684974</v>
      </c>
      <c r="G55" s="1" t="b">
        <v>1</v>
      </c>
      <c r="H55" s="167" t="s">
        <v>1706</v>
      </c>
      <c r="I55" s="128">
        <v>39727.324246523887</v>
      </c>
      <c r="J55" s="128">
        <v>75557.871091599998</v>
      </c>
    </row>
    <row r="56" spans="2:14" ht="62.4">
      <c r="B56" s="167" t="s">
        <v>691</v>
      </c>
      <c r="C56" s="169" t="s">
        <v>213</v>
      </c>
      <c r="D56" s="170" t="s">
        <v>2032</v>
      </c>
      <c r="E56" s="171">
        <f>$I$144+$I$202</f>
        <v>209956.78888386968</v>
      </c>
      <c r="G56" s="1" t="b">
        <v>1</v>
      </c>
      <c r="H56" s="167" t="s">
        <v>1708</v>
      </c>
      <c r="I56" s="128">
        <v>25474.71120103736</v>
      </c>
      <c r="J56" s="128">
        <v>81230.943162899988</v>
      </c>
    </row>
    <row r="57" spans="2:14" ht="31.2">
      <c r="B57" s="167" t="s">
        <v>730</v>
      </c>
      <c r="C57" s="170" t="s">
        <v>247</v>
      </c>
      <c r="D57" s="170" t="s">
        <v>330</v>
      </c>
      <c r="E57" s="171">
        <f>$I$182</f>
        <v>1112317.6610511751</v>
      </c>
      <c r="G57" s="1" t="b">
        <v>1</v>
      </c>
      <c r="H57" s="167" t="s">
        <v>1722</v>
      </c>
      <c r="I57" s="128">
        <v>40999.540506530531</v>
      </c>
      <c r="J57" s="128">
        <v>1228355.00129</v>
      </c>
    </row>
    <row r="58" spans="2:14" ht="156">
      <c r="B58" s="167" t="s">
        <v>625</v>
      </c>
      <c r="C58" s="170" t="s">
        <v>125</v>
      </c>
      <c r="D58" s="170" t="s">
        <v>2033</v>
      </c>
      <c r="E58" s="171">
        <f>$I$189+$I$249+$I$192+$I$190+$I$191+$I$185+$I$102+$I$151+$I$166+$I$213</f>
        <v>794397.94096176536</v>
      </c>
      <c r="G58" s="1" t="b">
        <v>1</v>
      </c>
      <c r="H58" s="167" t="s">
        <v>1724</v>
      </c>
      <c r="I58" s="128">
        <v>633.66411320537793</v>
      </c>
      <c r="J58" s="128">
        <v>148.51628735200001</v>
      </c>
    </row>
    <row r="59" spans="2:14" ht="46.8">
      <c r="B59" s="167" t="s">
        <v>737</v>
      </c>
      <c r="C59" s="170" t="s">
        <v>156</v>
      </c>
      <c r="D59" s="170" t="s">
        <v>480</v>
      </c>
      <c r="E59" s="171">
        <f>$I$161</f>
        <v>296878.33368390769</v>
      </c>
      <c r="F59" s="182"/>
      <c r="G59" s="1" t="b">
        <v>1</v>
      </c>
      <c r="H59" s="167" t="s">
        <v>570</v>
      </c>
      <c r="I59" s="128">
        <v>2161.5042880384108</v>
      </c>
      <c r="J59" s="128">
        <v>155.37989216400001</v>
      </c>
    </row>
    <row r="60" spans="2:14" ht="46.8">
      <c r="B60" s="167" t="s">
        <v>738</v>
      </c>
      <c r="C60" s="170" t="s">
        <v>12</v>
      </c>
      <c r="D60" s="170" t="s">
        <v>453</v>
      </c>
      <c r="E60" s="171">
        <f>$I$44</f>
        <v>729540.45344384026</v>
      </c>
      <c r="G60" s="1" t="b">
        <v>0</v>
      </c>
      <c r="H60" s="167" t="s">
        <v>350</v>
      </c>
      <c r="I60" s="128">
        <v>96476.342282584825</v>
      </c>
      <c r="J60" s="128">
        <v>396210.46682600002</v>
      </c>
    </row>
    <row r="61" spans="2:14" ht="46.8">
      <c r="B61" s="167" t="s">
        <v>739</v>
      </c>
      <c r="C61" s="170" t="s">
        <v>9</v>
      </c>
      <c r="D61" s="170" t="s">
        <v>2034</v>
      </c>
      <c r="E61" s="171">
        <f>$I$28+$I$60</f>
        <v>175447.23148344667</v>
      </c>
      <c r="G61" s="1" t="b">
        <v>0</v>
      </c>
      <c r="H61" s="167" t="s">
        <v>1553</v>
      </c>
      <c r="I61" s="128">
        <v>198516.93115000171</v>
      </c>
      <c r="J61" s="128">
        <v>1266739.8378399999</v>
      </c>
    </row>
    <row r="62" spans="2:14" ht="62.4">
      <c r="B62" s="167" t="s">
        <v>740</v>
      </c>
      <c r="C62" s="170" t="s">
        <v>176</v>
      </c>
      <c r="D62" s="170" t="s">
        <v>1492</v>
      </c>
      <c r="E62" s="171">
        <f>$I$236</f>
        <v>59861.048493396447</v>
      </c>
      <c r="G62" s="1" t="b">
        <v>1</v>
      </c>
      <c r="H62" s="167" t="s">
        <v>1556</v>
      </c>
      <c r="I62" s="128">
        <v>133722.64975994721</v>
      </c>
      <c r="J62" s="128">
        <v>5106267.7783399997</v>
      </c>
    </row>
    <row r="63" spans="2:14" ht="46.8">
      <c r="B63" s="167" t="s">
        <v>756</v>
      </c>
      <c r="C63" s="170" t="s">
        <v>43</v>
      </c>
      <c r="D63" s="170" t="s">
        <v>538</v>
      </c>
      <c r="E63" s="171">
        <f>$I$276</f>
        <v>43375.551490604463</v>
      </c>
      <c r="G63" s="1" t="b">
        <v>1</v>
      </c>
      <c r="H63" s="167" t="s">
        <v>1554</v>
      </c>
      <c r="I63" s="128">
        <v>22545.60627959191</v>
      </c>
      <c r="J63" s="128">
        <v>49660.606711599998</v>
      </c>
    </row>
    <row r="64" spans="2:14" ht="46.8">
      <c r="B64" s="167" t="s">
        <v>768</v>
      </c>
      <c r="C64" s="169" t="s">
        <v>536</v>
      </c>
      <c r="D64" s="170" t="s">
        <v>1654</v>
      </c>
      <c r="E64" s="171">
        <f>$I$252</f>
        <v>35255.243959711523</v>
      </c>
      <c r="F64" s="175"/>
      <c r="G64" s="1" t="b">
        <v>1</v>
      </c>
      <c r="H64" s="167" t="s">
        <v>1555</v>
      </c>
      <c r="I64" s="128">
        <v>66073.765642579368</v>
      </c>
      <c r="J64" s="128">
        <v>2752283.6559899999</v>
      </c>
    </row>
    <row r="65" spans="2:14" ht="46.8">
      <c r="B65" s="167" t="s">
        <v>769</v>
      </c>
      <c r="C65" s="170" t="s">
        <v>270</v>
      </c>
      <c r="D65" s="170" t="s">
        <v>540</v>
      </c>
      <c r="E65" s="171">
        <f>$I$303</f>
        <v>3310.7736381934201</v>
      </c>
      <c r="G65" s="1" t="b">
        <v>1</v>
      </c>
      <c r="H65" s="167" t="s">
        <v>1557</v>
      </c>
      <c r="I65" s="128">
        <v>10160.180820013829</v>
      </c>
      <c r="J65" s="128">
        <v>615151.156724</v>
      </c>
      <c r="M65" s="180"/>
      <c r="N65" s="180"/>
    </row>
    <row r="66" spans="2:14" ht="62.4">
      <c r="B66" s="167" t="s">
        <v>774</v>
      </c>
      <c r="C66" s="170" t="s">
        <v>557</v>
      </c>
      <c r="D66" s="170" t="s">
        <v>2035</v>
      </c>
      <c r="E66" s="171">
        <f>$I$316+$I$215+$I$182</f>
        <v>1424941.4018910795</v>
      </c>
      <c r="G66" s="1" t="b">
        <v>1</v>
      </c>
      <c r="H66" s="167" t="s">
        <v>1673</v>
      </c>
      <c r="I66" s="128">
        <v>27502.20121222024</v>
      </c>
      <c r="J66" s="128">
        <v>110420.018121</v>
      </c>
    </row>
    <row r="67" spans="2:14" ht="62.4">
      <c r="B67" s="167" t="s">
        <v>626</v>
      </c>
      <c r="C67" s="169" t="s">
        <v>147</v>
      </c>
      <c r="D67" s="170" t="s">
        <v>565</v>
      </c>
      <c r="E67" s="171">
        <f>$I$140</f>
        <v>352.18459969189058</v>
      </c>
      <c r="G67" s="1" t="b">
        <v>1</v>
      </c>
      <c r="H67" s="167" t="s">
        <v>1496</v>
      </c>
      <c r="I67" s="128">
        <v>7440.8958055419052</v>
      </c>
      <c r="J67" s="128">
        <v>1578752.3407999999</v>
      </c>
    </row>
    <row r="68" spans="2:14" ht="46.8">
      <c r="B68" s="167" t="s">
        <v>790</v>
      </c>
      <c r="C68" s="170" t="s">
        <v>138</v>
      </c>
      <c r="D68" s="170" t="s">
        <v>2036</v>
      </c>
      <c r="E68" s="171">
        <f>$I$323+$I$290+$I$354</f>
        <v>118421.0268270435</v>
      </c>
      <c r="G68" s="1" t="b">
        <v>1</v>
      </c>
      <c r="H68" s="167" t="s">
        <v>1570</v>
      </c>
      <c r="I68" s="128">
        <v>15.40377725195351</v>
      </c>
      <c r="J68" s="128">
        <v>0</v>
      </c>
    </row>
    <row r="69" spans="2:14">
      <c r="B69" s="167" t="s">
        <v>799</v>
      </c>
      <c r="C69" s="170" t="s">
        <v>26</v>
      </c>
      <c r="D69" s="170" t="s">
        <v>529</v>
      </c>
      <c r="E69" s="171">
        <f>$I$25</f>
        <v>10188.968087978839</v>
      </c>
      <c r="F69" s="185"/>
      <c r="G69" s="1" t="b">
        <v>1</v>
      </c>
      <c r="H69" s="167" t="s">
        <v>614</v>
      </c>
      <c r="I69" s="128">
        <v>692.37211196098247</v>
      </c>
      <c r="J69" s="128">
        <v>1348.78093367</v>
      </c>
    </row>
    <row r="70" spans="2:14" ht="31.2">
      <c r="B70" s="167" t="s">
        <v>800</v>
      </c>
      <c r="C70" s="169" t="s">
        <v>33</v>
      </c>
      <c r="D70" s="170" t="s">
        <v>2010</v>
      </c>
      <c r="E70" s="171">
        <f>$I$186</f>
        <v>1965044.765975663</v>
      </c>
      <c r="G70" s="1" t="b">
        <v>0</v>
      </c>
      <c r="H70" s="167" t="s">
        <v>326</v>
      </c>
      <c r="I70" s="128">
        <v>13138.62827910255</v>
      </c>
      <c r="J70" s="128">
        <v>1773.7102306899999</v>
      </c>
    </row>
    <row r="71" spans="2:14">
      <c r="B71" s="170" t="s">
        <v>801</v>
      </c>
      <c r="C71" s="170" t="s">
        <v>45</v>
      </c>
      <c r="D71" s="170" t="s">
        <v>1486</v>
      </c>
      <c r="E71" s="175">
        <f>$I$158</f>
        <v>172408.1462847541</v>
      </c>
      <c r="G71" s="1" t="b">
        <v>1</v>
      </c>
      <c r="H71" s="167" t="s">
        <v>1702</v>
      </c>
      <c r="I71" s="128">
        <v>7772859.0029450599</v>
      </c>
      <c r="J71" s="128">
        <v>20243383.083500002</v>
      </c>
    </row>
    <row r="72" spans="2:14">
      <c r="B72" s="167" t="s">
        <v>802</v>
      </c>
      <c r="C72" s="170" t="s">
        <v>60</v>
      </c>
      <c r="D72" s="170" t="s">
        <v>614</v>
      </c>
      <c r="E72" s="171">
        <f>$I$70</f>
        <v>13138.62827910255</v>
      </c>
      <c r="G72" s="1" t="b">
        <v>1</v>
      </c>
      <c r="H72" s="167" t="s">
        <v>1736</v>
      </c>
      <c r="I72" s="128">
        <v>30360.441923540318</v>
      </c>
      <c r="J72" s="128">
        <v>252023.23261599999</v>
      </c>
    </row>
    <row r="73" spans="2:14" ht="31.2">
      <c r="B73" s="167" t="s">
        <v>803</v>
      </c>
      <c r="C73" s="170" t="s">
        <v>98</v>
      </c>
      <c r="D73" s="170" t="s">
        <v>533</v>
      </c>
      <c r="E73" s="171">
        <f>$I$118</f>
        <v>58650.799184277181</v>
      </c>
      <c r="G73" s="1" t="b">
        <v>0</v>
      </c>
      <c r="H73" s="167" t="s">
        <v>500</v>
      </c>
      <c r="I73" s="128">
        <v>4019.927008809439</v>
      </c>
      <c r="J73" s="128">
        <v>42392.396968699999</v>
      </c>
    </row>
    <row r="74" spans="2:14" ht="78">
      <c r="B74" s="183" t="s">
        <v>804</v>
      </c>
      <c r="C74" s="184" t="s">
        <v>46</v>
      </c>
      <c r="D74" s="184" t="s">
        <v>2037</v>
      </c>
      <c r="E74" s="185">
        <f>$I$334+$I$342+$I$113+$I$268+$I$114+$I$120+$I$310</f>
        <v>1036192.2036396544</v>
      </c>
      <c r="G74" s="1" t="b">
        <v>1</v>
      </c>
      <c r="H74" s="167" t="s">
        <v>1656</v>
      </c>
      <c r="I74" s="128">
        <v>515295.14194845082</v>
      </c>
      <c r="J74" s="128">
        <v>349984.47739900002</v>
      </c>
    </row>
    <row r="75" spans="2:14">
      <c r="B75" s="167" t="s">
        <v>805</v>
      </c>
      <c r="C75" s="170" t="s">
        <v>112</v>
      </c>
      <c r="D75" s="170" t="s">
        <v>554</v>
      </c>
      <c r="E75" s="171">
        <f>$I$153</f>
        <v>8267.9555054646698</v>
      </c>
      <c r="G75" s="1" t="b">
        <v>1</v>
      </c>
      <c r="H75" s="167" t="s">
        <v>1661</v>
      </c>
      <c r="I75" s="128">
        <v>172200.1113650582</v>
      </c>
      <c r="J75" s="128">
        <v>64939.859904499986</v>
      </c>
      <c r="M75" s="179"/>
      <c r="N75" s="180"/>
    </row>
    <row r="76" spans="2:14">
      <c r="B76" s="167" t="s">
        <v>806</v>
      </c>
      <c r="C76" s="170" t="s">
        <v>115</v>
      </c>
      <c r="D76" s="170" t="s">
        <v>556</v>
      </c>
      <c r="E76" s="171">
        <f>$I$189</f>
        <v>24903.354425651451</v>
      </c>
      <c r="G76" s="1" t="b">
        <v>1</v>
      </c>
      <c r="H76" s="167" t="s">
        <v>1678</v>
      </c>
      <c r="I76" s="128">
        <v>22964.724492911551</v>
      </c>
      <c r="J76" s="128">
        <v>102199.34703800001</v>
      </c>
    </row>
    <row r="77" spans="2:14" ht="78">
      <c r="B77" s="183" t="s">
        <v>807</v>
      </c>
      <c r="C77" s="184" t="s">
        <v>144</v>
      </c>
      <c r="D77" s="184" t="s">
        <v>2037</v>
      </c>
      <c r="E77" s="185">
        <f>$I$334+$I$342+$I$113+$I$268+$I$114+$I$120+$I$310</f>
        <v>1036192.2036396544</v>
      </c>
      <c r="G77" s="1" t="b">
        <v>1</v>
      </c>
      <c r="H77" s="167" t="s">
        <v>1544</v>
      </c>
      <c r="I77" s="128">
        <v>4769.5575609079433</v>
      </c>
      <c r="J77" s="128">
        <v>189471.55873600001</v>
      </c>
      <c r="M77" s="179"/>
      <c r="N77" s="180"/>
    </row>
    <row r="78" spans="2:14" ht="31.2">
      <c r="B78" s="167" t="s">
        <v>627</v>
      </c>
      <c r="C78" s="169" t="s">
        <v>88</v>
      </c>
      <c r="D78" s="170" t="s">
        <v>527</v>
      </c>
      <c r="E78" s="171">
        <f>$I$190</f>
        <v>15757.64347156192</v>
      </c>
      <c r="G78" s="1" t="b">
        <v>1</v>
      </c>
      <c r="H78" s="167" t="s">
        <v>1520</v>
      </c>
      <c r="I78" s="128">
        <v>0.58867222391669494</v>
      </c>
      <c r="J78" s="128">
        <v>8.7587484001100009</v>
      </c>
    </row>
    <row r="79" spans="2:14" ht="31.2">
      <c r="B79" s="170" t="s">
        <v>808</v>
      </c>
      <c r="C79" s="170" t="s">
        <v>188</v>
      </c>
      <c r="D79" s="170" t="s">
        <v>1654</v>
      </c>
      <c r="E79" s="171">
        <f>$I$252</f>
        <v>35255.243959711523</v>
      </c>
      <c r="F79" s="185"/>
      <c r="G79" s="1" t="b">
        <v>1</v>
      </c>
      <c r="H79" s="167" t="s">
        <v>1548</v>
      </c>
      <c r="I79" s="128">
        <v>6951.0693511647642</v>
      </c>
      <c r="J79" s="128">
        <v>41204.001374599997</v>
      </c>
    </row>
    <row r="80" spans="2:14" ht="31.2">
      <c r="B80" s="167" t="s">
        <v>809</v>
      </c>
      <c r="C80" s="170" t="s">
        <v>243</v>
      </c>
      <c r="D80" s="170" t="s">
        <v>1654</v>
      </c>
      <c r="E80" s="171">
        <f>$I$252</f>
        <v>35255.243959711523</v>
      </c>
      <c r="F80" s="185"/>
      <c r="G80" s="1" t="b">
        <v>1</v>
      </c>
      <c r="H80" s="167" t="s">
        <v>1547</v>
      </c>
      <c r="I80" s="128">
        <v>673.86668946449504</v>
      </c>
      <c r="J80" s="128">
        <v>895.23058910700001</v>
      </c>
    </row>
    <row r="81" spans="2:14" ht="62.4">
      <c r="B81" s="167" t="s">
        <v>810</v>
      </c>
      <c r="C81" s="170" t="s">
        <v>217</v>
      </c>
      <c r="D81" s="170" t="s">
        <v>2038</v>
      </c>
      <c r="E81" s="171">
        <f>$I$346+$I$348+$I$36+$I$270+$I$49+$I$38</f>
        <v>59347.67783043228</v>
      </c>
      <c r="G81" s="1" t="b">
        <v>1</v>
      </c>
      <c r="H81" s="167" t="s">
        <v>1507</v>
      </c>
      <c r="I81" s="128">
        <v>15371.390139859441</v>
      </c>
      <c r="J81" s="128">
        <v>41025.103690900003</v>
      </c>
    </row>
    <row r="82" spans="2:14" ht="31.2">
      <c r="B82" s="167" t="s">
        <v>811</v>
      </c>
      <c r="C82" s="170" t="s">
        <v>219</v>
      </c>
      <c r="D82" s="170" t="s">
        <v>2039</v>
      </c>
      <c r="E82" s="171">
        <f>$I$126+$I$127</f>
        <v>10791.391492921464</v>
      </c>
      <c r="F82" s="188"/>
      <c r="G82" s="1" t="b">
        <v>1</v>
      </c>
      <c r="H82" s="167" t="s">
        <v>1550</v>
      </c>
      <c r="I82" s="128">
        <v>657.77827356237742</v>
      </c>
      <c r="J82" s="128">
        <v>1272.3786892400001</v>
      </c>
    </row>
    <row r="83" spans="2:14" ht="46.8">
      <c r="B83" s="167" t="s">
        <v>812</v>
      </c>
      <c r="C83" s="170" t="s">
        <v>229</v>
      </c>
      <c r="D83" s="170" t="s">
        <v>2040</v>
      </c>
      <c r="E83" s="171">
        <f>$I$280+$I$246+$I$276</f>
        <v>68544.204491722136</v>
      </c>
      <c r="G83" s="1" t="b">
        <v>0</v>
      </c>
      <c r="H83" s="167" t="s">
        <v>460</v>
      </c>
      <c r="I83" s="128">
        <v>3931.7900346378942</v>
      </c>
      <c r="J83" s="128">
        <v>23317.417947400001</v>
      </c>
    </row>
    <row r="84" spans="2:14" ht="31.2">
      <c r="B84" s="167" t="s">
        <v>814</v>
      </c>
      <c r="C84" s="170" t="s">
        <v>37</v>
      </c>
      <c r="D84" s="170" t="s">
        <v>2041</v>
      </c>
      <c r="E84" s="171">
        <f>$I$118+$I$184+$I$82</f>
        <v>61110.511101480646</v>
      </c>
      <c r="F84" s="175"/>
      <c r="G84" s="1" t="b">
        <v>0</v>
      </c>
      <c r="H84" s="167" t="s">
        <v>1664</v>
      </c>
      <c r="I84" s="128">
        <v>102737.45889131349</v>
      </c>
      <c r="J84" s="128">
        <v>607002.18926800007</v>
      </c>
    </row>
    <row r="85" spans="2:14" ht="31.2">
      <c r="B85" s="167" t="s">
        <v>815</v>
      </c>
      <c r="C85" s="169" t="s">
        <v>593</v>
      </c>
      <c r="D85" s="170" t="s">
        <v>594</v>
      </c>
      <c r="E85" s="171">
        <f>$I$180</f>
        <v>3992.5869071298662</v>
      </c>
      <c r="F85" s="189"/>
      <c r="G85" s="1" t="b">
        <v>0</v>
      </c>
      <c r="H85" s="167" t="s">
        <v>2088</v>
      </c>
      <c r="I85" s="128">
        <v>43379.6497765971</v>
      </c>
      <c r="J85" s="128">
        <v>1061373.3749599999</v>
      </c>
      <c r="M85" s="179"/>
      <c r="N85" s="180"/>
    </row>
    <row r="86" spans="2:14" ht="78">
      <c r="B86" s="183" t="s">
        <v>816</v>
      </c>
      <c r="C86" s="184" t="s">
        <v>272</v>
      </c>
      <c r="D86" s="184" t="s">
        <v>2037</v>
      </c>
      <c r="E86" s="185">
        <f>$I$334+$I$342+$I$113+$I$268+$I$114+$I$120+$I$310</f>
        <v>1036192.2036396544</v>
      </c>
      <c r="F86" s="175"/>
      <c r="G86" s="1" t="b">
        <v>0</v>
      </c>
      <c r="H86" s="167" t="s">
        <v>498</v>
      </c>
      <c r="I86" s="128">
        <v>274683.27549850772</v>
      </c>
      <c r="J86" s="128">
        <v>2172378.7900399999</v>
      </c>
    </row>
    <row r="87" spans="2:14" ht="78">
      <c r="B87" s="183" t="s">
        <v>817</v>
      </c>
      <c r="C87" s="184" t="s">
        <v>273</v>
      </c>
      <c r="D87" s="184" t="s">
        <v>2037</v>
      </c>
      <c r="E87" s="185">
        <f>$I$334+$I$342+$I$113+$I$268+$I$114+$I$120+$I$310</f>
        <v>1036192.2036396544</v>
      </c>
      <c r="F87" s="190"/>
      <c r="G87" s="1" t="b">
        <v>1</v>
      </c>
      <c r="H87" s="167" t="s">
        <v>1675</v>
      </c>
      <c r="I87" s="128">
        <v>149880.6713724712</v>
      </c>
      <c r="J87" s="128">
        <v>840328.69450099999</v>
      </c>
    </row>
    <row r="88" spans="2:14" ht="31.2">
      <c r="B88" s="167" t="s">
        <v>628</v>
      </c>
      <c r="C88" s="170" t="s">
        <v>174</v>
      </c>
      <c r="D88" s="170" t="s">
        <v>431</v>
      </c>
      <c r="E88" s="171">
        <f>$I$192</f>
        <v>17059.374752642419</v>
      </c>
      <c r="F88" s="175"/>
      <c r="G88" s="1" t="b">
        <v>1</v>
      </c>
      <c r="H88" s="167" t="s">
        <v>1676</v>
      </c>
      <c r="I88" s="128">
        <v>41488.441808601267</v>
      </c>
      <c r="J88" s="128">
        <v>32664.5144984</v>
      </c>
      <c r="M88" s="179"/>
      <c r="N88" s="180"/>
    </row>
    <row r="89" spans="2:14" ht="31.2">
      <c r="B89" s="186" t="s">
        <v>818</v>
      </c>
      <c r="C89" s="187" t="s">
        <v>284</v>
      </c>
      <c r="D89" s="187" t="s">
        <v>1628</v>
      </c>
      <c r="E89" s="188">
        <f>$I$332</f>
        <v>15330.854795305029</v>
      </c>
      <c r="G89" s="1" t="b">
        <v>1</v>
      </c>
      <c r="H89" s="167" t="s">
        <v>347</v>
      </c>
      <c r="I89" s="128">
        <v>108392.22956387</v>
      </c>
      <c r="J89" s="128">
        <v>807664.18000299996</v>
      </c>
    </row>
    <row r="90" spans="2:14" ht="46.8">
      <c r="B90" s="167" t="s">
        <v>791</v>
      </c>
      <c r="C90" s="170" t="s">
        <v>530</v>
      </c>
      <c r="D90" s="170" t="s">
        <v>2043</v>
      </c>
      <c r="E90" s="171">
        <f>$I$13+$I$39</f>
        <v>152372.87270947715</v>
      </c>
      <c r="G90" s="1" t="b">
        <v>1</v>
      </c>
      <c r="H90" s="167" t="s">
        <v>1617</v>
      </c>
      <c r="I90" s="128">
        <v>857216.50823962234</v>
      </c>
      <c r="J90" s="128">
        <v>554960.52541999996</v>
      </c>
      <c r="M90" s="179"/>
      <c r="N90" s="179"/>
    </row>
    <row r="91" spans="2:14" ht="31.2">
      <c r="B91" s="167" t="s">
        <v>792</v>
      </c>
      <c r="C91" s="170" t="s">
        <v>64</v>
      </c>
      <c r="D91" s="170" t="s">
        <v>2044</v>
      </c>
      <c r="E91" s="175">
        <f>$I$118+$I$180</f>
        <v>62643.386091407046</v>
      </c>
      <c r="G91" s="1" t="b">
        <v>1</v>
      </c>
      <c r="H91" s="167" t="s">
        <v>1663</v>
      </c>
      <c r="I91" s="128">
        <v>205381.3865973771</v>
      </c>
      <c r="J91" s="128">
        <v>6356927.8979000002</v>
      </c>
      <c r="N91" s="167"/>
    </row>
    <row r="92" spans="2:14" ht="78">
      <c r="B92" s="184" t="s">
        <v>794</v>
      </c>
      <c r="C92" s="184" t="s">
        <v>548</v>
      </c>
      <c r="D92" s="184" t="s">
        <v>2037</v>
      </c>
      <c r="E92" s="189">
        <f>$I$334+$I$342+$I$113+$I$268+$I$114+$I$120+$I$310</f>
        <v>1036192.2036396544</v>
      </c>
      <c r="G92" s="1" t="b">
        <v>0</v>
      </c>
      <c r="H92" s="167" t="s">
        <v>2089</v>
      </c>
      <c r="I92" s="128">
        <v>50743.552512384907</v>
      </c>
      <c r="J92" s="128">
        <v>42490.210121399999</v>
      </c>
      <c r="N92" s="167"/>
    </row>
    <row r="93" spans="2:14" ht="31.2">
      <c r="B93" s="170" t="s">
        <v>795</v>
      </c>
      <c r="C93" s="170" t="s">
        <v>121</v>
      </c>
      <c r="E93" s="175"/>
      <c r="G93" s="1" t="b">
        <v>1</v>
      </c>
      <c r="H93" s="167" t="s">
        <v>1537</v>
      </c>
      <c r="I93" s="128">
        <v>300730.95095782302</v>
      </c>
      <c r="J93" s="128">
        <v>6298806.6470999997</v>
      </c>
      <c r="N93" s="167"/>
    </row>
    <row r="94" spans="2:14" ht="31.2">
      <c r="B94" s="186" t="s">
        <v>796</v>
      </c>
      <c r="C94" s="187" t="s">
        <v>182</v>
      </c>
      <c r="D94" s="187" t="s">
        <v>2056</v>
      </c>
      <c r="E94" s="190">
        <f>$I$44+$I$61</f>
        <v>928057.38459384197</v>
      </c>
      <c r="G94" s="1" t="b">
        <v>1</v>
      </c>
      <c r="H94" s="167" t="s">
        <v>1657</v>
      </c>
      <c r="I94" s="128">
        <v>1186.608383938908</v>
      </c>
      <c r="J94" s="128">
        <v>4.4576692163900002</v>
      </c>
      <c r="N94" s="167"/>
    </row>
    <row r="95" spans="2:14" ht="31.2">
      <c r="B95" s="167" t="s">
        <v>630</v>
      </c>
      <c r="C95" s="169" t="s">
        <v>198</v>
      </c>
      <c r="D95" s="170" t="s">
        <v>1612</v>
      </c>
      <c r="E95" s="171">
        <f>$I$214</f>
        <v>719833.6664909895</v>
      </c>
      <c r="G95" s="1" t="b">
        <v>1</v>
      </c>
      <c r="H95" s="167" t="s">
        <v>1574</v>
      </c>
      <c r="I95" s="128">
        <v>20289.635276625751</v>
      </c>
      <c r="J95" s="128">
        <v>11599.1096385</v>
      </c>
      <c r="N95" s="167"/>
    </row>
    <row r="96" spans="2:14" ht="46.8">
      <c r="B96" s="167" t="s">
        <v>647</v>
      </c>
      <c r="C96" s="169" t="s">
        <v>149</v>
      </c>
      <c r="D96" s="170" t="s">
        <v>2010</v>
      </c>
      <c r="E96" s="171">
        <f>$I$186</f>
        <v>1965044.765975663</v>
      </c>
      <c r="G96" s="1" t="b">
        <v>0</v>
      </c>
      <c r="H96" s="167" t="s">
        <v>1569</v>
      </c>
      <c r="I96" s="128">
        <v>73984.423396953382</v>
      </c>
      <c r="J96" s="128">
        <v>4136.5505843399997</v>
      </c>
      <c r="N96" s="167"/>
    </row>
    <row r="97" spans="2:14" ht="46.8">
      <c r="B97" s="167" t="s">
        <v>648</v>
      </c>
      <c r="C97" s="169" t="s">
        <v>254</v>
      </c>
      <c r="D97" s="170" t="s">
        <v>1611</v>
      </c>
      <c r="E97" s="171">
        <f>$I$102</f>
        <v>14029.613005617121</v>
      </c>
      <c r="G97" s="1" t="b">
        <v>1</v>
      </c>
      <c r="H97" s="167" t="s">
        <v>1728</v>
      </c>
      <c r="I97" s="128">
        <v>51924.576798479902</v>
      </c>
      <c r="J97" s="128">
        <v>117059.64479000001</v>
      </c>
      <c r="N97" s="167"/>
    </row>
    <row r="98" spans="2:14" ht="46.8">
      <c r="B98" s="167" t="s">
        <v>631</v>
      </c>
      <c r="C98" s="191" t="s">
        <v>281</v>
      </c>
      <c r="D98" s="170" t="s">
        <v>520</v>
      </c>
      <c r="E98" s="171">
        <f>$I$215</f>
        <v>253475.81488098</v>
      </c>
      <c r="G98" s="1" t="b">
        <v>1</v>
      </c>
      <c r="H98" s="167" t="s">
        <v>1696</v>
      </c>
      <c r="I98" s="128">
        <v>317823.86849412369</v>
      </c>
      <c r="J98" s="128">
        <v>29539.742007500001</v>
      </c>
    </row>
    <row r="99" spans="2:14" ht="62.4">
      <c r="B99" s="170" t="s">
        <v>642</v>
      </c>
      <c r="C99" s="192" t="s">
        <v>79</v>
      </c>
      <c r="D99" s="170" t="s">
        <v>2046</v>
      </c>
      <c r="E99" s="171">
        <f>$I$249</f>
        <v>13186.389929831839</v>
      </c>
      <c r="G99" s="1" t="b">
        <v>0</v>
      </c>
      <c r="H99" s="167" t="s">
        <v>1698</v>
      </c>
      <c r="I99" s="128">
        <v>20473.318573563909</v>
      </c>
      <c r="J99" s="128">
        <v>211823.30196899999</v>
      </c>
      <c r="N99" s="167"/>
    </row>
    <row r="100" spans="2:14">
      <c r="B100" s="167" t="s">
        <v>649</v>
      </c>
      <c r="C100" s="191" t="s">
        <v>39</v>
      </c>
      <c r="D100" s="170" t="s">
        <v>2010</v>
      </c>
      <c r="E100" s="171">
        <f>$I$186</f>
        <v>1965044.765975663</v>
      </c>
      <c r="G100" s="1" t="b">
        <v>1</v>
      </c>
      <c r="H100" s="167" t="s">
        <v>1721</v>
      </c>
      <c r="I100" s="128">
        <v>7458.5961302457299</v>
      </c>
      <c r="J100" s="128">
        <v>35057.553466899997</v>
      </c>
    </row>
    <row r="101" spans="2:14" ht="46.8">
      <c r="B101" s="167" t="s">
        <v>669</v>
      </c>
      <c r="C101" s="191" t="s">
        <v>136</v>
      </c>
      <c r="D101" s="170" t="s">
        <v>2047</v>
      </c>
      <c r="E101" s="171">
        <f>$I$328+$I$182+$I$193+$I$179+$I$344+$I$90</f>
        <v>3031279.263877172</v>
      </c>
      <c r="G101" s="1" t="b">
        <v>1</v>
      </c>
      <c r="H101" s="167" t="s">
        <v>1611</v>
      </c>
      <c r="I101" s="128">
        <v>0</v>
      </c>
      <c r="J101" s="128">
        <v>0</v>
      </c>
    </row>
    <row r="102" spans="2:14" ht="31.2">
      <c r="B102" s="167" t="s">
        <v>670</v>
      </c>
      <c r="C102" s="191" t="s">
        <v>28</v>
      </c>
      <c r="D102" s="170" t="s">
        <v>310</v>
      </c>
      <c r="E102" s="171">
        <f>$I$141</f>
        <v>20765.6346306384</v>
      </c>
      <c r="G102" s="1" t="b">
        <v>1</v>
      </c>
      <c r="H102" s="167" t="s">
        <v>427</v>
      </c>
      <c r="I102" s="128">
        <v>14029.613005617121</v>
      </c>
      <c r="J102" s="128">
        <v>6004.6662223800004</v>
      </c>
      <c r="N102" s="167"/>
    </row>
    <row r="103" spans="2:14" ht="62.4">
      <c r="B103" s="167" t="s">
        <v>671</v>
      </c>
      <c r="C103" s="191" t="s">
        <v>207</v>
      </c>
      <c r="D103" s="170" t="s">
        <v>2048</v>
      </c>
      <c r="E103" s="171">
        <f>$I$84+$I$37+$I$23+$I$31+$I$72</f>
        <v>228442.9710002534</v>
      </c>
      <c r="G103" s="1" t="b">
        <v>1</v>
      </c>
      <c r="H103" s="167" t="s">
        <v>1536</v>
      </c>
      <c r="I103" s="128">
        <v>14488.51155107508</v>
      </c>
      <c r="J103" s="128">
        <v>516864.51614700002</v>
      </c>
    </row>
    <row r="104" spans="2:14" ht="46.8">
      <c r="B104" s="167" t="s">
        <v>683</v>
      </c>
      <c r="C104" s="170" t="s">
        <v>195</v>
      </c>
      <c r="D104" s="170" t="s">
        <v>2049</v>
      </c>
      <c r="E104" s="171">
        <f>$I$145+$I$84+$I$23</f>
        <v>270897.50343444152</v>
      </c>
      <c r="G104" s="1" t="b">
        <v>1</v>
      </c>
      <c r="H104" s="167" t="s">
        <v>1490</v>
      </c>
      <c r="I104" s="128">
        <v>18036.49516196896</v>
      </c>
      <c r="J104" s="128">
        <v>36028.4639044</v>
      </c>
    </row>
    <row r="105" spans="2:14" ht="46.8">
      <c r="B105" s="167" t="s">
        <v>684</v>
      </c>
      <c r="C105" s="169" t="s">
        <v>160</v>
      </c>
      <c r="D105" s="170" t="s">
        <v>1618</v>
      </c>
      <c r="E105" s="171">
        <f>$I$315</f>
        <v>100136.0840483497</v>
      </c>
      <c r="F105" s="175"/>
      <c r="G105" s="1" t="b">
        <v>1</v>
      </c>
      <c r="H105" s="167" t="s">
        <v>1649</v>
      </c>
      <c r="I105" s="128">
        <v>14951.179978101</v>
      </c>
      <c r="J105" s="128">
        <v>1057.8992057</v>
      </c>
    </row>
    <row r="106" spans="2:14" ht="46.8">
      <c r="B106" s="167" t="s">
        <v>685</v>
      </c>
      <c r="C106" s="170" t="s">
        <v>523</v>
      </c>
      <c r="D106" s="170" t="s">
        <v>400</v>
      </c>
      <c r="E106" s="171">
        <f>$I$49</f>
        <v>18719.08978635833</v>
      </c>
      <c r="G106" s="1" t="b">
        <v>1</v>
      </c>
      <c r="H106" s="167" t="s">
        <v>1718</v>
      </c>
      <c r="I106" s="128">
        <v>28312.644573243841</v>
      </c>
      <c r="J106" s="128">
        <v>455150.61600799998</v>
      </c>
    </row>
    <row r="107" spans="2:14" ht="72">
      <c r="B107" s="208" t="s">
        <v>692</v>
      </c>
      <c r="C107" s="2" t="s">
        <v>275</v>
      </c>
      <c r="D107" s="2" t="s">
        <v>2050</v>
      </c>
      <c r="E107" s="171">
        <f>$I$6+$I$7+$I$61+$I$63+$I464+$I$65</f>
        <v>248323.78071252035</v>
      </c>
      <c r="G107" s="1" t="b">
        <v>0</v>
      </c>
      <c r="H107" s="167" t="s">
        <v>2022</v>
      </c>
      <c r="I107" s="128">
        <v>7459.2553092034696</v>
      </c>
      <c r="J107" s="128">
        <v>80769.545844000007</v>
      </c>
    </row>
    <row r="108" spans="2:14" ht="46.8">
      <c r="B108" s="167" t="s">
        <v>632</v>
      </c>
      <c r="C108" s="169" t="s">
        <v>180</v>
      </c>
      <c r="D108" s="170" t="s">
        <v>1683</v>
      </c>
      <c r="E108" s="171">
        <f>$I$185</f>
        <v>11665.358274445351</v>
      </c>
      <c r="G108" s="1" t="b">
        <v>1</v>
      </c>
      <c r="H108" s="167" t="s">
        <v>1720</v>
      </c>
      <c r="I108" s="128">
        <v>1050364.072724961</v>
      </c>
      <c r="J108" s="128">
        <v>551382.23642900004</v>
      </c>
    </row>
    <row r="109" spans="2:14" ht="72">
      <c r="B109" s="208" t="s">
        <v>693</v>
      </c>
      <c r="C109" s="2" t="s">
        <v>110</v>
      </c>
      <c r="D109" s="2" t="s">
        <v>2050</v>
      </c>
      <c r="E109" s="171">
        <f>$I$6+$I$7+$I$61+$I$63+$I466+$I$65</f>
        <v>248323.78071252035</v>
      </c>
      <c r="G109" s="1" t="b">
        <v>1</v>
      </c>
      <c r="H109" s="167" t="s">
        <v>462</v>
      </c>
      <c r="I109" s="128">
        <v>23184.69777479949</v>
      </c>
      <c r="J109" s="128">
        <v>101510.502721</v>
      </c>
    </row>
    <row r="110" spans="2:14" ht="43.2">
      <c r="B110" s="208" t="s">
        <v>694</v>
      </c>
      <c r="C110" s="2" t="s">
        <v>101</v>
      </c>
      <c r="D110" s="2" t="s">
        <v>2018</v>
      </c>
      <c r="E110" s="171">
        <f>I144</f>
        <v>179812.1494723277</v>
      </c>
      <c r="G110" s="1" t="b">
        <v>1</v>
      </c>
      <c r="H110" s="167" t="s">
        <v>1603</v>
      </c>
      <c r="I110" s="128">
        <v>89637.920057827476</v>
      </c>
      <c r="J110" s="128">
        <v>124765.791872</v>
      </c>
      <c r="N110" s="167"/>
    </row>
    <row r="111" spans="2:14" ht="62.4">
      <c r="B111" s="167" t="s">
        <v>695</v>
      </c>
      <c r="C111" s="169" t="s">
        <v>476</v>
      </c>
      <c r="D111" s="170" t="s">
        <v>310</v>
      </c>
      <c r="E111" s="171">
        <f>$I$141</f>
        <v>20765.6346306384</v>
      </c>
      <c r="G111" s="1" t="b">
        <v>1</v>
      </c>
      <c r="H111" s="167" t="s">
        <v>1727</v>
      </c>
      <c r="I111" s="128">
        <v>3358.9187206577658</v>
      </c>
      <c r="J111" s="128">
        <v>180.07886540300001</v>
      </c>
    </row>
    <row r="112" spans="2:14" ht="109.2">
      <c r="B112" s="167" t="s">
        <v>696</v>
      </c>
      <c r="C112" s="169" t="s">
        <v>266</v>
      </c>
      <c r="D112" s="170" t="s">
        <v>2051</v>
      </c>
      <c r="E112" s="171">
        <f>$I$145+$I$6+$I$7+$I$64+$I$65+$I$174+$I$175</f>
        <v>219022.04128133645</v>
      </c>
      <c r="G112" s="1" t="b">
        <v>1</v>
      </c>
      <c r="H112" s="167" t="s">
        <v>1595</v>
      </c>
      <c r="I112" s="128">
        <v>1600.8382101539639</v>
      </c>
      <c r="J112" s="128">
        <v>6086.1607897599997</v>
      </c>
      <c r="N112" s="167"/>
    </row>
    <row r="113" spans="2:14" ht="46.8">
      <c r="B113" s="167" t="s">
        <v>697</v>
      </c>
      <c r="C113" s="170" t="s">
        <v>420</v>
      </c>
      <c r="D113" s="170" t="s">
        <v>2052</v>
      </c>
      <c r="E113" s="175">
        <f>$I$6+$I$64+$I$174</f>
        <v>88204.522711080266</v>
      </c>
      <c r="G113" s="1" t="b">
        <v>0</v>
      </c>
      <c r="H113" s="167" t="s">
        <v>1577</v>
      </c>
      <c r="I113" s="128">
        <v>1045.2376154555241</v>
      </c>
      <c r="J113" s="128">
        <v>1905.72598565</v>
      </c>
    </row>
    <row r="114" spans="2:14" ht="31.2">
      <c r="B114" s="167" t="s">
        <v>698</v>
      </c>
      <c r="C114" s="170" t="s">
        <v>483</v>
      </c>
      <c r="D114" s="170" t="s">
        <v>2018</v>
      </c>
      <c r="E114" s="171">
        <f>$I$145</f>
        <v>104927.3054330778</v>
      </c>
      <c r="G114" s="1" t="b">
        <v>1</v>
      </c>
      <c r="H114" s="167" t="s">
        <v>1738</v>
      </c>
      <c r="I114" s="128">
        <v>61220.999991021257</v>
      </c>
      <c r="J114" s="128">
        <v>363984.483916</v>
      </c>
      <c r="M114" s="177"/>
      <c r="N114" s="178"/>
    </row>
    <row r="115" spans="2:14" ht="46.8">
      <c r="B115" s="167" t="s">
        <v>699</v>
      </c>
      <c r="C115" s="169" t="s">
        <v>145</v>
      </c>
      <c r="D115" s="170" t="s">
        <v>320</v>
      </c>
      <c r="E115" s="171">
        <f>$I$337</f>
        <v>348478.83892033168</v>
      </c>
      <c r="G115" s="1" t="b">
        <v>0</v>
      </c>
      <c r="H115" s="167" t="s">
        <v>1573</v>
      </c>
      <c r="I115" s="128">
        <v>510.33101466598413</v>
      </c>
      <c r="J115" s="128">
        <v>6.1164354655100004</v>
      </c>
    </row>
    <row r="116" spans="2:14" ht="46.8">
      <c r="B116" s="167" t="s">
        <v>700</v>
      </c>
      <c r="C116" s="169" t="s">
        <v>83</v>
      </c>
      <c r="D116" s="170" t="s">
        <v>320</v>
      </c>
      <c r="E116" s="171">
        <f>$I$337</f>
        <v>348478.83892033168</v>
      </c>
      <c r="G116" s="1" t="b">
        <v>1</v>
      </c>
      <c r="H116" s="167" t="s">
        <v>1717</v>
      </c>
      <c r="I116" s="128">
        <v>62877.332841723801</v>
      </c>
      <c r="J116" s="128">
        <v>486431.67561899999</v>
      </c>
    </row>
    <row r="117" spans="2:14" ht="62.4">
      <c r="B117" s="167" t="s">
        <v>701</v>
      </c>
      <c r="C117" s="170" t="s">
        <v>114</v>
      </c>
      <c r="D117" s="170" t="s">
        <v>310</v>
      </c>
      <c r="E117" s="171">
        <f>$I$141</f>
        <v>20765.6346306384</v>
      </c>
      <c r="G117" s="1" t="b">
        <v>1</v>
      </c>
      <c r="H117" s="167" t="s">
        <v>533</v>
      </c>
      <c r="I117" s="128">
        <v>1762.4762029613671</v>
      </c>
      <c r="J117" s="128">
        <v>332123.99284600001</v>
      </c>
      <c r="M117" s="177"/>
      <c r="N117" s="178"/>
    </row>
    <row r="118" spans="2:14" ht="46.8">
      <c r="B118" s="167" t="s">
        <v>702</v>
      </c>
      <c r="C118" s="169" t="s">
        <v>151</v>
      </c>
      <c r="D118" s="170" t="s">
        <v>320</v>
      </c>
      <c r="E118" s="171">
        <f>$I$337</f>
        <v>348478.83892033168</v>
      </c>
      <c r="G118" s="1" t="b">
        <v>1</v>
      </c>
      <c r="H118" s="167" t="s">
        <v>1608</v>
      </c>
      <c r="I118" s="128">
        <v>58650.799184277181</v>
      </c>
      <c r="J118" s="128">
        <v>208335.83605099999</v>
      </c>
    </row>
    <row r="119" spans="2:14" ht="78">
      <c r="B119" s="167" t="s">
        <v>633</v>
      </c>
      <c r="C119" s="170" t="s">
        <v>199</v>
      </c>
      <c r="D119" s="170" t="s">
        <v>2053</v>
      </c>
      <c r="E119" s="171">
        <f>$I$192+$I$151+$I$166+$I$214+$I$215</f>
        <v>1032512.3809562344</v>
      </c>
      <c r="F119" s="176"/>
      <c r="G119" s="1" t="b">
        <v>0</v>
      </c>
      <c r="H119" s="167" t="s">
        <v>1584</v>
      </c>
      <c r="I119" s="128">
        <v>0</v>
      </c>
      <c r="J119" s="128">
        <v>0</v>
      </c>
    </row>
    <row r="120" spans="2:14" ht="46.8">
      <c r="B120" s="167" t="s">
        <v>732</v>
      </c>
      <c r="C120" s="170" t="s">
        <v>438</v>
      </c>
      <c r="D120" s="170" t="s">
        <v>2054</v>
      </c>
      <c r="E120" s="171">
        <f>$I$339+$I$83+$I$359+$I$104</f>
        <v>56266.795159562986</v>
      </c>
      <c r="G120" s="1" t="b">
        <v>1</v>
      </c>
      <c r="H120" s="167" t="s">
        <v>1586</v>
      </c>
      <c r="I120" s="128">
        <v>48128.622420396023</v>
      </c>
      <c r="J120" s="128">
        <v>42449.8828746</v>
      </c>
    </row>
    <row r="121" spans="2:14" ht="31.2">
      <c r="B121" s="167" t="s">
        <v>733</v>
      </c>
      <c r="C121" s="169" t="s">
        <v>206</v>
      </c>
      <c r="D121" s="170" t="s">
        <v>2055</v>
      </c>
      <c r="E121" s="171">
        <f>$I$182+$I$360+$I$83+$I$359+$I$104</f>
        <v>1137160.0260271679</v>
      </c>
      <c r="G121" s="1" t="b">
        <v>1</v>
      </c>
      <c r="H121" s="167" t="s">
        <v>1587</v>
      </c>
      <c r="I121" s="128">
        <v>639.44652368416473</v>
      </c>
      <c r="J121" s="128">
        <v>10702.2244168</v>
      </c>
      <c r="M121" s="179"/>
      <c r="N121" s="180"/>
    </row>
    <row r="122" spans="2:14" ht="28.8">
      <c r="B122" s="208" t="s">
        <v>742</v>
      </c>
      <c r="C122" s="2" t="s">
        <v>451</v>
      </c>
      <c r="D122" s="2" t="s">
        <v>2056</v>
      </c>
      <c r="E122" s="171">
        <f>I43+I60</f>
        <v>117597.6214968026</v>
      </c>
      <c r="G122" s="1" t="b">
        <v>1</v>
      </c>
      <c r="H122" s="167" t="s">
        <v>1501</v>
      </c>
      <c r="I122" s="128">
        <v>3617.8291581639928</v>
      </c>
      <c r="J122" s="128">
        <v>25684.104546899998</v>
      </c>
    </row>
    <row r="123" spans="2:14" ht="62.4">
      <c r="B123" s="167" t="s">
        <v>743</v>
      </c>
      <c r="C123" s="170" t="s">
        <v>129</v>
      </c>
      <c r="D123" s="170" t="s">
        <v>2034</v>
      </c>
      <c r="E123" s="171">
        <f>$I$28+$I$60</f>
        <v>175447.23148344667</v>
      </c>
      <c r="G123" s="1" t="b">
        <v>1</v>
      </c>
      <c r="H123" s="167" t="s">
        <v>1647</v>
      </c>
      <c r="I123" s="128">
        <v>19839.623653855051</v>
      </c>
      <c r="J123" s="128">
        <v>3508323.5235799998</v>
      </c>
      <c r="N123" s="167"/>
    </row>
    <row r="124" spans="2:14" ht="93.6">
      <c r="B124" s="167" t="s">
        <v>744</v>
      </c>
      <c r="C124" s="169" t="s">
        <v>479</v>
      </c>
      <c r="D124" s="170" t="s">
        <v>480</v>
      </c>
      <c r="E124" s="171">
        <f>$I$161</f>
        <v>296878.33368390769</v>
      </c>
      <c r="G124" s="1" t="b">
        <v>1</v>
      </c>
      <c r="H124" s="167" t="s">
        <v>1598</v>
      </c>
      <c r="I124" s="128">
        <v>3168.534687405825</v>
      </c>
      <c r="J124" s="128">
        <v>2574551.8348300001</v>
      </c>
    </row>
    <row r="125" spans="2:14" ht="46.8">
      <c r="B125" s="167" t="s">
        <v>745</v>
      </c>
      <c r="C125" s="169" t="s">
        <v>494</v>
      </c>
      <c r="D125" s="170" t="s">
        <v>496</v>
      </c>
      <c r="E125" s="171">
        <f>$I$52</f>
        <v>124641.7044111049</v>
      </c>
      <c r="G125" s="1" t="b">
        <v>1</v>
      </c>
      <c r="H125" s="167" t="s">
        <v>589</v>
      </c>
      <c r="I125" s="128">
        <v>1.4206700333758009</v>
      </c>
      <c r="J125" s="128">
        <v>3439807.9121099999</v>
      </c>
    </row>
    <row r="126" spans="2:14" ht="46.8">
      <c r="B126" s="170" t="s">
        <v>634</v>
      </c>
      <c r="C126" s="170" t="s">
        <v>66</v>
      </c>
      <c r="D126" s="193" t="s">
        <v>2018</v>
      </c>
      <c r="E126" s="176">
        <f>$I$145</f>
        <v>104927.3054330778</v>
      </c>
      <c r="F126" s="175"/>
      <c r="G126" s="1" t="b">
        <v>1</v>
      </c>
      <c r="H126" s="167" t="s">
        <v>1634</v>
      </c>
      <c r="I126" s="128">
        <v>7754.9996789287843</v>
      </c>
      <c r="J126" s="128">
        <v>19358.7575044</v>
      </c>
    </row>
    <row r="127" spans="2:14" ht="62.4">
      <c r="B127" s="167" t="s">
        <v>746</v>
      </c>
      <c r="C127" s="169" t="s">
        <v>77</v>
      </c>
      <c r="D127" s="170" t="s">
        <v>498</v>
      </c>
      <c r="E127" s="171">
        <f>$I$87</f>
        <v>149880.6713724712</v>
      </c>
      <c r="G127" s="1" t="b">
        <v>1</v>
      </c>
      <c r="H127" s="167" t="s">
        <v>1558</v>
      </c>
      <c r="I127" s="128">
        <v>3036.39181399268</v>
      </c>
      <c r="J127" s="128">
        <v>86.523831493999992</v>
      </c>
    </row>
    <row r="128" spans="2:14" ht="46.8">
      <c r="B128" s="167" t="s">
        <v>747</v>
      </c>
      <c r="C128" s="170" t="s">
        <v>239</v>
      </c>
      <c r="D128" s="170" t="s">
        <v>504</v>
      </c>
      <c r="E128" s="171">
        <f>$I$302</f>
        <v>28365.407598443049</v>
      </c>
      <c r="G128" s="1" t="b">
        <v>1</v>
      </c>
      <c r="H128" s="167" t="s">
        <v>1562</v>
      </c>
      <c r="I128" s="128">
        <v>25577.573867209401</v>
      </c>
      <c r="J128" s="128">
        <v>368334.67443299998</v>
      </c>
      <c r="M128" s="177"/>
      <c r="N128" s="178"/>
    </row>
    <row r="129" spans="2:14" ht="46.8">
      <c r="B129" s="167" t="s">
        <v>749</v>
      </c>
      <c r="C129" s="170" t="s">
        <v>118</v>
      </c>
      <c r="D129" s="170" t="s">
        <v>2057</v>
      </c>
      <c r="E129" s="171">
        <f>$I$44+$I$52</f>
        <v>854182.15785494517</v>
      </c>
      <c r="G129" s="1" t="b">
        <v>1</v>
      </c>
      <c r="H129" s="167" t="s">
        <v>1623</v>
      </c>
      <c r="I129" s="128">
        <v>15535.243323916529</v>
      </c>
      <c r="J129" s="128">
        <v>1822655.7324900001</v>
      </c>
    </row>
    <row r="130" spans="2:14" ht="46.8">
      <c r="B130" s="167" t="s">
        <v>750</v>
      </c>
      <c r="C130" s="169" t="s">
        <v>178</v>
      </c>
      <c r="D130" s="170" t="s">
        <v>2057</v>
      </c>
      <c r="E130" s="171">
        <f>$I$44+$I$52</f>
        <v>854182.15785494517</v>
      </c>
      <c r="G130" s="1" t="b">
        <v>1</v>
      </c>
      <c r="H130" s="167" t="s">
        <v>1719</v>
      </c>
      <c r="I130" s="128">
        <v>864.29569098436434</v>
      </c>
      <c r="J130" s="128">
        <v>3250062.3664600002</v>
      </c>
    </row>
    <row r="131" spans="2:14" ht="46.8">
      <c r="B131" s="167" t="s">
        <v>751</v>
      </c>
      <c r="C131" s="169" t="s">
        <v>186</v>
      </c>
      <c r="D131" s="170" t="s">
        <v>2057</v>
      </c>
      <c r="E131" s="171">
        <f>$I$44+$I$52</f>
        <v>854182.15785494517</v>
      </c>
      <c r="G131" s="1" t="b">
        <v>1</v>
      </c>
      <c r="H131" s="167" t="s">
        <v>1509</v>
      </c>
      <c r="I131" s="128">
        <v>1247.3403069963611</v>
      </c>
      <c r="J131" s="128">
        <v>382649.338109</v>
      </c>
    </row>
    <row r="132" spans="2:14" ht="86.4">
      <c r="B132" s="208" t="s">
        <v>752</v>
      </c>
      <c r="C132" s="2" t="s">
        <v>511</v>
      </c>
      <c r="D132" s="2" t="s">
        <v>2058</v>
      </c>
      <c r="E132" s="171">
        <f>I43</f>
        <v>21121.279214217771</v>
      </c>
      <c r="G132" s="1" t="b">
        <v>1</v>
      </c>
      <c r="H132" s="167" t="s">
        <v>1621</v>
      </c>
      <c r="I132" s="128">
        <v>2427.547659879343</v>
      </c>
      <c r="J132" s="128">
        <v>17323.376719700002</v>
      </c>
      <c r="N132" s="167"/>
    </row>
    <row r="133" spans="2:14" ht="31.2">
      <c r="B133" s="167" t="s">
        <v>763</v>
      </c>
      <c r="C133" s="169" t="s">
        <v>41</v>
      </c>
      <c r="D133" s="170" t="s">
        <v>457</v>
      </c>
      <c r="E133" s="171">
        <f>$I$37</f>
        <v>27372.372211004818</v>
      </c>
      <c r="F133" s="189"/>
      <c r="G133" s="1" t="b">
        <v>1</v>
      </c>
      <c r="H133" s="167" t="s">
        <v>1653</v>
      </c>
      <c r="I133" s="128">
        <v>1859.694675917953</v>
      </c>
      <c r="J133" s="128">
        <v>232309.80249100001</v>
      </c>
      <c r="N133" s="167"/>
    </row>
    <row r="134" spans="2:14" ht="46.8">
      <c r="B134" s="167" t="s">
        <v>635</v>
      </c>
      <c r="C134" s="169" t="s">
        <v>70</v>
      </c>
      <c r="D134" s="170" t="s">
        <v>562</v>
      </c>
      <c r="E134" s="171">
        <f>$I$254</f>
        <v>159398.58270545161</v>
      </c>
      <c r="G134" s="1" t="b">
        <v>1</v>
      </c>
      <c r="H134" s="167" t="s">
        <v>1730</v>
      </c>
      <c r="I134" s="128">
        <v>1911.287662027328</v>
      </c>
      <c r="J134" s="128">
        <v>60757.376418699991</v>
      </c>
      <c r="M134" s="179"/>
      <c r="N134" s="180"/>
    </row>
    <row r="135" spans="2:14" ht="46.8">
      <c r="B135" s="167" t="s">
        <v>764</v>
      </c>
      <c r="C135" s="170" t="s">
        <v>211</v>
      </c>
      <c r="D135" s="170" t="s">
        <v>2059</v>
      </c>
      <c r="E135" s="171">
        <f>$I$84+$I$23</f>
        <v>165970.19800136369</v>
      </c>
      <c r="G135" s="1" t="b">
        <v>0</v>
      </c>
      <c r="H135" s="167" t="s">
        <v>1714</v>
      </c>
      <c r="I135" s="128">
        <v>0</v>
      </c>
      <c r="J135" s="128">
        <v>0</v>
      </c>
    </row>
    <row r="136" spans="2:14" ht="31.2">
      <c r="B136" s="167" t="s">
        <v>765</v>
      </c>
      <c r="C136" s="169" t="s">
        <v>96</v>
      </c>
      <c r="D136" s="170" t="s">
        <v>462</v>
      </c>
      <c r="E136" s="171">
        <f>$I$110</f>
        <v>89637.920057827476</v>
      </c>
      <c r="G136" s="1" t="b">
        <v>1</v>
      </c>
      <c r="H136" s="167" t="s">
        <v>1533</v>
      </c>
      <c r="I136" s="128">
        <v>28779.56559796309</v>
      </c>
      <c r="J136" s="128">
        <v>2176680.8198500001</v>
      </c>
    </row>
    <row r="137" spans="2:14" ht="31.2">
      <c r="B137" s="167" t="s">
        <v>766</v>
      </c>
      <c r="C137" s="169" t="s">
        <v>237</v>
      </c>
      <c r="D137" s="170" t="s">
        <v>471</v>
      </c>
      <c r="E137" s="171">
        <f>$I$307</f>
        <v>21015.58279132974</v>
      </c>
      <c r="G137" s="1" t="b">
        <v>0</v>
      </c>
      <c r="H137" s="167" t="s">
        <v>1674</v>
      </c>
      <c r="I137" s="128">
        <v>50405.512599899368</v>
      </c>
      <c r="J137" s="128">
        <v>4200.0937112199999</v>
      </c>
    </row>
    <row r="138" spans="2:14" ht="62.4">
      <c r="B138" s="167" t="s">
        <v>767</v>
      </c>
      <c r="C138" s="169" t="s">
        <v>491</v>
      </c>
      <c r="D138" s="170" t="s">
        <v>2060</v>
      </c>
      <c r="E138" s="171">
        <f>$I$15+$I$173+$I$16+$I$63</f>
        <v>59252.498021014108</v>
      </c>
      <c r="G138" s="1" t="b">
        <v>1</v>
      </c>
      <c r="H138" s="167" t="s">
        <v>1645</v>
      </c>
      <c r="I138" s="128">
        <v>1068307.247553485</v>
      </c>
      <c r="J138" s="128">
        <v>530203.22046899993</v>
      </c>
    </row>
    <row r="139" spans="2:14" ht="93.6">
      <c r="B139" s="184" t="s">
        <v>770</v>
      </c>
      <c r="C139" s="184" t="s">
        <v>434</v>
      </c>
      <c r="D139" s="184" t="s">
        <v>2061</v>
      </c>
      <c r="E139" s="189">
        <f>$I$334+$I$342+$I$113+$I$268+$I$114+$I$120+$I$310+$I$252</f>
        <v>1071447.4475993661</v>
      </c>
      <c r="G139" s="1" t="b">
        <v>1</v>
      </c>
      <c r="H139" s="167" t="s">
        <v>565</v>
      </c>
      <c r="I139" s="128">
        <v>178400.73163887649</v>
      </c>
      <c r="J139" s="128">
        <v>9445.8257356100003</v>
      </c>
    </row>
    <row r="140" spans="2:14" ht="46.8">
      <c r="B140" s="170" t="s">
        <v>771</v>
      </c>
      <c r="C140" s="169" t="s">
        <v>424</v>
      </c>
      <c r="D140" s="170" t="s">
        <v>1654</v>
      </c>
      <c r="E140" s="171">
        <f>$I$252</f>
        <v>35255.243959711523</v>
      </c>
      <c r="F140" s="185"/>
      <c r="G140" s="1" t="b">
        <v>1</v>
      </c>
      <c r="H140" s="167" t="s">
        <v>310</v>
      </c>
      <c r="I140" s="128">
        <v>352.18459969189058</v>
      </c>
      <c r="J140" s="128">
        <v>2.3358422566099999</v>
      </c>
    </row>
    <row r="141" spans="2:14" ht="46.8">
      <c r="B141" s="167" t="s">
        <v>777</v>
      </c>
      <c r="C141" s="169" t="s">
        <v>508</v>
      </c>
      <c r="D141" s="170" t="s">
        <v>1511</v>
      </c>
      <c r="E141" s="171">
        <f>$I$13</f>
        <v>71246.13467238532</v>
      </c>
      <c r="G141" s="1" t="b">
        <v>0</v>
      </c>
      <c r="H141" s="167" t="s">
        <v>1739</v>
      </c>
      <c r="I141" s="128">
        <v>20765.6346306384</v>
      </c>
      <c r="J141" s="128">
        <v>362.05315897800011</v>
      </c>
    </row>
    <row r="142" spans="2:14" ht="31.2">
      <c r="B142" s="167" t="s">
        <v>819</v>
      </c>
      <c r="C142" s="169" t="s">
        <v>75</v>
      </c>
      <c r="D142" s="170" t="s">
        <v>2062</v>
      </c>
      <c r="E142" s="171">
        <f>$I$45+$I$46+$I$281</f>
        <v>23090.101611472281</v>
      </c>
      <c r="F142" s="185"/>
      <c r="G142" s="1" t="b">
        <v>1</v>
      </c>
      <c r="H142" s="167" t="s">
        <v>1741</v>
      </c>
      <c r="I142" s="128">
        <v>1168443.3316018351</v>
      </c>
      <c r="J142" s="128">
        <v>4617961.9896800006</v>
      </c>
    </row>
    <row r="143" spans="2:14" ht="31.2">
      <c r="B143" s="167" t="s">
        <v>820</v>
      </c>
      <c r="C143" s="169" t="s">
        <v>85</v>
      </c>
      <c r="D143" s="170" t="s">
        <v>2063</v>
      </c>
      <c r="E143" s="171">
        <f>$I$45+$I$46+$I$281</f>
        <v>23090.101611472281</v>
      </c>
      <c r="G143" s="1" t="b">
        <v>0</v>
      </c>
      <c r="H143" s="167" t="s">
        <v>1740</v>
      </c>
      <c r="I143" s="128">
        <v>868788.69668427878</v>
      </c>
      <c r="J143" s="128">
        <v>520393.00573199999</v>
      </c>
      <c r="M143" s="177"/>
      <c r="N143" s="178"/>
    </row>
    <row r="144" spans="2:14" ht="46.8">
      <c r="B144" s="167" t="s">
        <v>821</v>
      </c>
      <c r="C144" s="169" t="s">
        <v>86</v>
      </c>
      <c r="D144" s="170" t="s">
        <v>1680</v>
      </c>
      <c r="E144" s="171">
        <f>$I$33</f>
        <v>12109.503834473329</v>
      </c>
      <c r="F144" s="188"/>
      <c r="G144" s="1" t="b">
        <v>0</v>
      </c>
      <c r="H144" s="167" t="s">
        <v>2018</v>
      </c>
      <c r="I144" s="128">
        <v>179812.1494723277</v>
      </c>
      <c r="J144" s="128">
        <v>9617099.5464200005</v>
      </c>
    </row>
    <row r="145" spans="2:14" ht="62.4">
      <c r="B145" s="167" t="s">
        <v>636</v>
      </c>
      <c r="C145" s="169" t="s">
        <v>50</v>
      </c>
      <c r="D145" s="170" t="s">
        <v>520</v>
      </c>
      <c r="E145" s="171">
        <f>$I$215</f>
        <v>253475.81488098</v>
      </c>
      <c r="F145" s="185"/>
      <c r="G145" s="1" t="b">
        <v>1</v>
      </c>
      <c r="H145" s="167" t="s">
        <v>1475</v>
      </c>
      <c r="I145" s="128">
        <v>104927.3054330778</v>
      </c>
      <c r="J145" s="128">
        <v>9483937.3565999996</v>
      </c>
    </row>
    <row r="146" spans="2:14" ht="78">
      <c r="B146" s="183" t="s">
        <v>822</v>
      </c>
      <c r="C146" s="184" t="s">
        <v>184</v>
      </c>
      <c r="D146" s="184" t="s">
        <v>2037</v>
      </c>
      <c r="E146" s="185">
        <f>$I$334+$I$342+$I$113+$I$268+$I$114+$I$120+$I$310</f>
        <v>1036192.2036396544</v>
      </c>
      <c r="G146" s="1" t="b">
        <v>1</v>
      </c>
      <c r="H146" s="167" t="s">
        <v>1478</v>
      </c>
      <c r="I146" s="128">
        <v>34878.900677231773</v>
      </c>
      <c r="J146" s="128">
        <v>6037.6962208699997</v>
      </c>
    </row>
    <row r="147" spans="2:14" ht="78">
      <c r="B147" s="183" t="s">
        <v>824</v>
      </c>
      <c r="C147" s="184" t="s">
        <v>260</v>
      </c>
      <c r="D147" s="184" t="s">
        <v>2037</v>
      </c>
      <c r="E147" s="185">
        <f>$I$334+$I$342+$I$113+$I$268+$I$114+$I$120+$I$310</f>
        <v>1036192.2036396544</v>
      </c>
      <c r="F147" s="175"/>
      <c r="G147" s="1" t="b">
        <v>1</v>
      </c>
      <c r="H147" s="167" t="s">
        <v>1607</v>
      </c>
      <c r="I147" s="128">
        <v>4015.6614931762329</v>
      </c>
      <c r="J147" s="128">
        <v>317.24721744499999</v>
      </c>
    </row>
    <row r="148" spans="2:14" ht="31.2">
      <c r="B148" s="167" t="s">
        <v>825</v>
      </c>
      <c r="C148" s="170" t="s">
        <v>277</v>
      </c>
      <c r="D148" s="170" t="s">
        <v>2063</v>
      </c>
      <c r="E148" s="171">
        <f>$I$45+$I$46</f>
        <v>3772.5741087116312</v>
      </c>
      <c r="G148" s="1" t="b">
        <v>1</v>
      </c>
      <c r="H148" s="167" t="s">
        <v>1488</v>
      </c>
      <c r="I148" s="128">
        <v>7066.5519459331381</v>
      </c>
      <c r="J148" s="128">
        <v>1582227.81859</v>
      </c>
    </row>
    <row r="149" spans="2:14" ht="62.4">
      <c r="B149" s="186" t="s">
        <v>797</v>
      </c>
      <c r="C149" s="194" t="s">
        <v>35</v>
      </c>
      <c r="D149" s="187" t="s">
        <v>601</v>
      </c>
      <c r="E149" s="188">
        <f>$I$205</f>
        <v>262448.99049626233</v>
      </c>
      <c r="G149" s="1" t="b">
        <v>1</v>
      </c>
      <c r="H149" s="167" t="s">
        <v>1703</v>
      </c>
      <c r="I149" s="128">
        <v>28119.54268481251</v>
      </c>
      <c r="J149" s="128">
        <v>19591.9003706</v>
      </c>
      <c r="M149" s="177"/>
      <c r="N149" s="178"/>
    </row>
    <row r="150" spans="2:14" ht="78">
      <c r="B150" s="183" t="s">
        <v>798</v>
      </c>
      <c r="C150" s="184" t="s">
        <v>233</v>
      </c>
      <c r="D150" s="184" t="s">
        <v>2037</v>
      </c>
      <c r="E150" s="185">
        <f>$I$334+$I$342+$I$113+$I$268+$I$114+$I$120+$I$310</f>
        <v>1036192.2036396544</v>
      </c>
      <c r="G150" s="1" t="b">
        <v>1</v>
      </c>
      <c r="H150" s="167" t="s">
        <v>2090</v>
      </c>
      <c r="I150" s="128">
        <v>5427.2318969932976</v>
      </c>
      <c r="J150" s="128">
        <v>129467.935901</v>
      </c>
    </row>
    <row r="151" spans="2:14" ht="46.8">
      <c r="B151" s="170" t="s">
        <v>832</v>
      </c>
      <c r="C151" s="170" t="s">
        <v>209</v>
      </c>
      <c r="D151" s="170" t="s">
        <v>2059</v>
      </c>
      <c r="E151" s="171">
        <f>$I$84+$I$23</f>
        <v>165970.19800136369</v>
      </c>
      <c r="F151" s="175"/>
      <c r="G151" s="1" t="b">
        <v>1</v>
      </c>
      <c r="H151" s="167" t="s">
        <v>1559</v>
      </c>
      <c r="I151" s="128">
        <v>41161.133069325057</v>
      </c>
      <c r="J151" s="128">
        <v>0</v>
      </c>
    </row>
    <row r="152" spans="2:14" ht="46.8">
      <c r="B152" s="167" t="s">
        <v>637</v>
      </c>
      <c r="C152" s="170" t="s">
        <v>525</v>
      </c>
      <c r="D152" s="170" t="s">
        <v>1683</v>
      </c>
      <c r="E152" s="171">
        <f>$I$185</f>
        <v>11665.358274445351</v>
      </c>
      <c r="F152" s="175"/>
      <c r="G152" s="1" t="b">
        <v>1</v>
      </c>
      <c r="H152" s="167" t="s">
        <v>554</v>
      </c>
      <c r="I152" s="128">
        <v>2487.4698110994668</v>
      </c>
      <c r="J152" s="128">
        <v>1808.7662222700001</v>
      </c>
    </row>
    <row r="153" spans="2:14" ht="46.8">
      <c r="B153" s="167" t="s">
        <v>644</v>
      </c>
      <c r="C153" s="169" t="s">
        <v>191</v>
      </c>
      <c r="D153" s="170" t="s">
        <v>2065</v>
      </c>
      <c r="E153" s="171">
        <f>$I$141+$I$325</f>
        <v>114107.19835597352</v>
      </c>
      <c r="G153" s="1" t="b">
        <v>0</v>
      </c>
      <c r="H153" s="167" t="s">
        <v>468</v>
      </c>
      <c r="I153" s="128">
        <v>8267.9555054646698</v>
      </c>
      <c r="J153" s="128">
        <v>48452.194237000003</v>
      </c>
      <c r="M153" s="177"/>
      <c r="N153" s="178"/>
    </row>
    <row r="154" spans="2:14" ht="62.4">
      <c r="B154" s="167" t="s">
        <v>638</v>
      </c>
      <c r="C154" s="170" t="s">
        <v>48</v>
      </c>
      <c r="D154" s="170" t="s">
        <v>527</v>
      </c>
      <c r="E154" s="171">
        <f>$I$190</f>
        <v>15757.64347156192</v>
      </c>
      <c r="G154" s="1" t="b">
        <v>0</v>
      </c>
      <c r="H154" s="167" t="s">
        <v>343</v>
      </c>
      <c r="I154" s="128">
        <v>896778.34843480377</v>
      </c>
      <c r="J154" s="128">
        <v>2412925.2067800001</v>
      </c>
      <c r="M154" s="177"/>
      <c r="N154" s="178"/>
    </row>
    <row r="155" spans="2:14" ht="46.8">
      <c r="B155" s="167" t="s">
        <v>835</v>
      </c>
      <c r="C155" s="170" t="s">
        <v>170</v>
      </c>
      <c r="D155" s="170" t="s">
        <v>2066</v>
      </c>
      <c r="E155" s="171">
        <f>$I$90+$I$4+$I$8+$I$61</f>
        <v>1080449.5457412959</v>
      </c>
      <c r="G155" s="1" t="b">
        <v>1</v>
      </c>
      <c r="H155" s="167" t="s">
        <v>1498</v>
      </c>
      <c r="I155" s="128">
        <v>139465.81411610241</v>
      </c>
      <c r="J155" s="128">
        <v>549948.823921</v>
      </c>
    </row>
    <row r="156" spans="2:14" ht="31.2">
      <c r="B156" s="167" t="s">
        <v>704</v>
      </c>
      <c r="C156" s="169" t="s">
        <v>262</v>
      </c>
      <c r="D156" s="170" t="s">
        <v>320</v>
      </c>
      <c r="E156" s="171">
        <f>$I$337</f>
        <v>348478.83892033168</v>
      </c>
      <c r="F156" s="175"/>
      <c r="G156" s="1" t="b">
        <v>0</v>
      </c>
      <c r="H156" s="167" t="s">
        <v>1524</v>
      </c>
      <c r="I156" s="128">
        <v>1834.422274245879</v>
      </c>
      <c r="J156" s="128">
        <v>7824.9985584599999</v>
      </c>
    </row>
    <row r="157" spans="2:14" ht="46.8">
      <c r="B157" s="167" t="s">
        <v>734</v>
      </c>
      <c r="C157" s="170" t="s">
        <v>316</v>
      </c>
      <c r="D157" s="170" t="s">
        <v>2067</v>
      </c>
      <c r="E157" s="171">
        <f>$I$50+$I$83+$I$356+$I$339+$I$359+$I$104</f>
        <v>56402.132365437472</v>
      </c>
      <c r="F157" s="175"/>
      <c r="G157" s="1" t="b">
        <v>1</v>
      </c>
      <c r="H157" s="167" t="s">
        <v>1486</v>
      </c>
      <c r="I157" s="128">
        <v>12831.739550039059</v>
      </c>
      <c r="J157" s="128">
        <v>3017586.9157099999</v>
      </c>
    </row>
    <row r="158" spans="2:14" ht="46.8">
      <c r="B158" s="167" t="s">
        <v>639</v>
      </c>
      <c r="C158" s="170" t="s">
        <v>107</v>
      </c>
      <c r="D158" s="170" t="s">
        <v>377</v>
      </c>
      <c r="E158" s="171">
        <f>$I$212</f>
        <v>1812266.1463656269</v>
      </c>
      <c r="F158" s="175"/>
      <c r="G158" s="1" t="b">
        <v>1</v>
      </c>
      <c r="H158" s="167" t="s">
        <v>1744</v>
      </c>
      <c r="I158" s="128">
        <v>172408.1462847541</v>
      </c>
      <c r="J158" s="128">
        <v>44749.403393400004</v>
      </c>
      <c r="M158" s="177"/>
      <c r="N158" s="178"/>
    </row>
    <row r="159" spans="2:14" ht="78">
      <c r="B159" s="183" t="s">
        <v>772</v>
      </c>
      <c r="C159" s="184" t="s">
        <v>94</v>
      </c>
      <c r="D159" s="184" t="s">
        <v>2037</v>
      </c>
      <c r="E159" s="185">
        <f>$I$334+$I$342+$I$113+$I$268+$I$114+$I$120+$I$310</f>
        <v>1036192.2036396544</v>
      </c>
      <c r="G159" s="1" t="b">
        <v>1</v>
      </c>
      <c r="H159" s="167" t="s">
        <v>1615</v>
      </c>
      <c r="I159" s="128">
        <v>160811.75048056859</v>
      </c>
      <c r="J159" s="128">
        <v>690.06306901999994</v>
      </c>
      <c r="M159" s="177"/>
      <c r="N159" s="178"/>
    </row>
    <row r="160" spans="2:14" ht="78">
      <c r="B160" s="183" t="s">
        <v>773</v>
      </c>
      <c r="C160" s="184" t="s">
        <v>286</v>
      </c>
      <c r="D160" s="184" t="s">
        <v>2037</v>
      </c>
      <c r="E160" s="185">
        <f>$I$334+$I$342+$I$113+$I$268+$I$114+$I$120+$I$310</f>
        <v>1036192.2036396544</v>
      </c>
      <c r="F160" s="185"/>
      <c r="G160" s="1" t="b">
        <v>1</v>
      </c>
      <c r="H160" s="167" t="s">
        <v>480</v>
      </c>
      <c r="I160" s="128">
        <v>4105.4472519851679</v>
      </c>
      <c r="J160" s="128">
        <v>260431.39071899999</v>
      </c>
      <c r="M160" s="177"/>
      <c r="N160" s="178"/>
    </row>
    <row r="161" spans="2:14" ht="46.8">
      <c r="B161" s="167" t="s">
        <v>778</v>
      </c>
      <c r="C161" s="170" t="s">
        <v>223</v>
      </c>
      <c r="D161" s="170" t="s">
        <v>605</v>
      </c>
      <c r="E161" s="171">
        <f>I232</f>
        <v>7176.968876619233</v>
      </c>
      <c r="F161" s="185"/>
      <c r="G161" s="1" t="b">
        <v>1</v>
      </c>
      <c r="H161" s="167" t="s">
        <v>1485</v>
      </c>
      <c r="I161" s="128">
        <v>296878.33368390769</v>
      </c>
      <c r="J161" s="128">
        <v>169976.50188600001</v>
      </c>
      <c r="N161" s="167"/>
    </row>
    <row r="162" spans="2:14" ht="31.2">
      <c r="B162" s="167" t="s">
        <v>779</v>
      </c>
      <c r="C162" s="170" t="s">
        <v>225</v>
      </c>
      <c r="D162" s="170" t="s">
        <v>1661</v>
      </c>
      <c r="E162" s="171">
        <f>$I$76</f>
        <v>22964.724492911551</v>
      </c>
      <c r="G162" s="1" t="b">
        <v>1</v>
      </c>
      <c r="H162" s="167" t="s">
        <v>1640</v>
      </c>
      <c r="I162" s="128">
        <v>74201.058094880995</v>
      </c>
      <c r="J162" s="128">
        <v>92786.372142600012</v>
      </c>
    </row>
    <row r="163" spans="2:14" ht="31.2">
      <c r="B163" s="167" t="s">
        <v>826</v>
      </c>
      <c r="C163" s="170" t="s">
        <v>56</v>
      </c>
      <c r="D163" s="170" t="s">
        <v>599</v>
      </c>
      <c r="E163" s="171">
        <f>$I$47</f>
        <v>19735.342637901151</v>
      </c>
      <c r="G163" s="1" t="b">
        <v>1</v>
      </c>
      <c r="H163" s="167" t="s">
        <v>1659</v>
      </c>
      <c r="I163" s="128">
        <v>2948.3351968590468</v>
      </c>
      <c r="J163" s="128">
        <v>2067.8081914899999</v>
      </c>
    </row>
    <row r="164" spans="2:14" ht="46.8">
      <c r="B164" s="167" t="s">
        <v>827</v>
      </c>
      <c r="C164" s="170" t="s">
        <v>221</v>
      </c>
      <c r="D164" s="170" t="s">
        <v>1663</v>
      </c>
      <c r="E164" s="171">
        <f>$I$92</f>
        <v>50743.552512384907</v>
      </c>
      <c r="G164" s="1" t="b">
        <v>1</v>
      </c>
      <c r="H164" s="167" t="s">
        <v>1627</v>
      </c>
      <c r="I164" s="128">
        <v>15.858727103401471</v>
      </c>
      <c r="J164" s="128">
        <v>3093.47925429</v>
      </c>
      <c r="N164" s="167"/>
    </row>
    <row r="165" spans="2:14" ht="46.8">
      <c r="B165" s="167" t="s">
        <v>828</v>
      </c>
      <c r="C165" s="170" t="s">
        <v>227</v>
      </c>
      <c r="D165" s="170" t="s">
        <v>2068</v>
      </c>
      <c r="E165" s="171">
        <f>$I$249+$I$191+$I$166</f>
        <v>25142.282351548038</v>
      </c>
      <c r="G165" s="1" t="b">
        <v>1</v>
      </c>
      <c r="H165" s="167" t="s">
        <v>2091</v>
      </c>
      <c r="I165" s="128">
        <v>4228.0821961981246</v>
      </c>
      <c r="J165" s="128">
        <v>596.06272733599997</v>
      </c>
      <c r="N165" s="167"/>
    </row>
    <row r="166" spans="2:14" ht="46.8">
      <c r="B166" s="167" t="s">
        <v>829</v>
      </c>
      <c r="C166" s="170" t="s">
        <v>132</v>
      </c>
      <c r="D166" s="170" t="s">
        <v>1568</v>
      </c>
      <c r="E166" s="171">
        <f>$I$256</f>
        <v>21158.860493101129</v>
      </c>
      <c r="G166" s="1" t="b">
        <v>1</v>
      </c>
      <c r="H166" s="167" t="s">
        <v>1742</v>
      </c>
      <c r="I166" s="128">
        <v>982.39176229743839</v>
      </c>
      <c r="J166" s="128">
        <v>0</v>
      </c>
      <c r="N166" s="167"/>
    </row>
    <row r="167" spans="2:14" ht="43.2">
      <c r="B167" s="208" t="s">
        <v>830</v>
      </c>
      <c r="C167" s="2" t="s">
        <v>256</v>
      </c>
      <c r="D167" s="2" t="s">
        <v>2122</v>
      </c>
      <c r="E167" s="171">
        <f>I332</f>
        <v>15330.854795305029</v>
      </c>
      <c r="G167" s="1" t="b">
        <v>0</v>
      </c>
      <c r="H167" s="167" t="s">
        <v>1542</v>
      </c>
      <c r="I167" s="128">
        <v>0</v>
      </c>
      <c r="J167" s="128">
        <v>7758317.4919199999</v>
      </c>
      <c r="N167" s="167"/>
    </row>
    <row r="168" spans="2:14" ht="31.2">
      <c r="B168" s="167" t="s">
        <v>705</v>
      </c>
      <c r="C168" s="169" t="s">
        <v>250</v>
      </c>
      <c r="D168" s="170" t="s">
        <v>320</v>
      </c>
      <c r="E168" s="171">
        <f>$I$337</f>
        <v>348478.83892033168</v>
      </c>
      <c r="G168" s="1" t="b">
        <v>1</v>
      </c>
      <c r="H168" s="167" t="s">
        <v>1601</v>
      </c>
      <c r="I168" s="128">
        <v>135.92587809840691</v>
      </c>
      <c r="J168" s="128">
        <v>0</v>
      </c>
      <c r="M168" s="179"/>
      <c r="N168" s="180"/>
    </row>
    <row r="169" spans="2:14" ht="62.4">
      <c r="B169" s="167" t="s">
        <v>753</v>
      </c>
      <c r="C169" s="170" t="s">
        <v>19</v>
      </c>
      <c r="D169" s="170" t="s">
        <v>2034</v>
      </c>
      <c r="E169" s="171">
        <f>$I$60+$I$28</f>
        <v>175447.23148344667</v>
      </c>
      <c r="F169" s="175"/>
      <c r="G169" s="1" t="b">
        <v>0</v>
      </c>
      <c r="H169" s="167" t="s">
        <v>1481</v>
      </c>
      <c r="I169" s="128">
        <v>315.37496316829242</v>
      </c>
      <c r="J169" s="128">
        <v>5104.5453871000009</v>
      </c>
      <c r="N169" s="167"/>
    </row>
    <row r="170" spans="2:14" ht="46.8">
      <c r="B170" s="167" t="s">
        <v>754</v>
      </c>
      <c r="C170" s="170" t="s">
        <v>232</v>
      </c>
      <c r="D170" s="170" t="s">
        <v>2069</v>
      </c>
      <c r="E170" s="171">
        <f>$I$87+$I$149+$I$14+$I$271</f>
        <v>190456.51966994547</v>
      </c>
      <c r="G170" s="1" t="b">
        <v>0</v>
      </c>
      <c r="H170" s="167" t="s">
        <v>1631</v>
      </c>
      <c r="I170" s="128">
        <v>19934.010985914749</v>
      </c>
      <c r="J170" s="128">
        <v>1480.70594471</v>
      </c>
    </row>
    <row r="171" spans="2:14" ht="43.2">
      <c r="B171" s="208" t="s">
        <v>755</v>
      </c>
      <c r="C171" s="2" t="s">
        <v>190</v>
      </c>
      <c r="D171" s="2" t="s">
        <v>480</v>
      </c>
      <c r="E171" s="171">
        <f>I160</f>
        <v>4105.4472519851679</v>
      </c>
      <c r="G171" s="1" t="b">
        <v>0</v>
      </c>
      <c r="H171" s="167" t="s">
        <v>1605</v>
      </c>
      <c r="I171" s="128">
        <v>5692.032858332791</v>
      </c>
      <c r="J171" s="128">
        <v>1039.05607644</v>
      </c>
      <c r="M171" s="177"/>
      <c r="N171" s="178"/>
    </row>
    <row r="172" spans="2:14" ht="46.8">
      <c r="B172" s="167" t="s">
        <v>758</v>
      </c>
      <c r="C172" s="170" t="s">
        <v>609</v>
      </c>
      <c r="D172" s="170" t="s">
        <v>611</v>
      </c>
      <c r="E172" s="171">
        <f>$I$41</f>
        <v>41176.239245183308</v>
      </c>
      <c r="G172" s="1" t="b">
        <v>1</v>
      </c>
      <c r="H172" s="167" t="s">
        <v>1625</v>
      </c>
      <c r="I172" s="128">
        <v>29992.611659651961</v>
      </c>
      <c r="J172" s="128">
        <v>140.66064067900001</v>
      </c>
    </row>
    <row r="173" spans="2:14" ht="46.8">
      <c r="B173" s="167" t="s">
        <v>759</v>
      </c>
      <c r="C173" s="170" t="s">
        <v>612</v>
      </c>
      <c r="D173" s="170" t="s">
        <v>614</v>
      </c>
      <c r="E173" s="171">
        <f>$I$70</f>
        <v>13138.62827910255</v>
      </c>
      <c r="G173" s="1" t="b">
        <v>1</v>
      </c>
      <c r="H173" s="167" t="s">
        <v>422</v>
      </c>
      <c r="I173" s="128">
        <v>2399.6968990790328</v>
      </c>
      <c r="J173" s="128">
        <v>99.287695064199994</v>
      </c>
    </row>
    <row r="174" spans="2:14" ht="62.4">
      <c r="B174" s="167" t="s">
        <v>760</v>
      </c>
      <c r="C174" s="170" t="s">
        <v>279</v>
      </c>
      <c r="D174" s="170" t="s">
        <v>2070</v>
      </c>
      <c r="E174" s="171">
        <f>$I$40+$I$147+$I$9+$I$247+$I$163+$I$248</f>
        <v>48377.836943804774</v>
      </c>
      <c r="G174" s="1" t="b">
        <v>1</v>
      </c>
      <c r="H174" s="167" t="s">
        <v>1624</v>
      </c>
      <c r="I174" s="128">
        <v>5962.9657719005272</v>
      </c>
      <c r="J174" s="128">
        <v>246.955776015</v>
      </c>
    </row>
    <row r="175" spans="2:14">
      <c r="G175" s="1" t="b">
        <v>1</v>
      </c>
      <c r="H175" s="167" t="s">
        <v>1684</v>
      </c>
      <c r="I175" s="128">
        <v>14796.761150852049</v>
      </c>
      <c r="J175" s="128">
        <v>561.47904834500002</v>
      </c>
    </row>
    <row r="176" spans="2:14">
      <c r="G176" s="1" t="b">
        <v>1</v>
      </c>
      <c r="H176" s="167" t="s">
        <v>1626</v>
      </c>
      <c r="I176" s="128">
        <v>4246.7440623242501</v>
      </c>
      <c r="J176" s="128">
        <v>181.73501573999999</v>
      </c>
    </row>
    <row r="177" spans="7:10">
      <c r="G177" s="1" t="b">
        <v>1</v>
      </c>
      <c r="H177" s="167" t="s">
        <v>1651</v>
      </c>
      <c r="I177" s="128">
        <v>2586.4437754960982</v>
      </c>
      <c r="J177" s="128">
        <v>95.4313250732</v>
      </c>
    </row>
    <row r="178" spans="7:10">
      <c r="G178" s="1" t="b">
        <v>1</v>
      </c>
      <c r="H178" s="167" t="s">
        <v>1528</v>
      </c>
      <c r="I178" s="128">
        <v>160476.30395925749</v>
      </c>
      <c r="J178" s="128">
        <v>1422882.04424</v>
      </c>
    </row>
    <row r="179" spans="7:10">
      <c r="G179" s="1" t="b">
        <v>1</v>
      </c>
      <c r="H179" s="167" t="s">
        <v>594</v>
      </c>
      <c r="I179" s="128">
        <v>993448.15223654441</v>
      </c>
      <c r="J179" s="128">
        <v>32870.5131492</v>
      </c>
    </row>
    <row r="180" spans="7:10">
      <c r="G180" s="1" t="b">
        <v>1</v>
      </c>
      <c r="H180" s="167" t="s">
        <v>1695</v>
      </c>
      <c r="I180" s="128">
        <v>3992.5869071298662</v>
      </c>
      <c r="J180" s="128">
        <v>219269.62723700001</v>
      </c>
    </row>
    <row r="181" spans="7:10">
      <c r="G181" s="1" t="b">
        <v>0</v>
      </c>
      <c r="H181" s="167" t="s">
        <v>330</v>
      </c>
      <c r="I181" s="128">
        <v>82264.140317749567</v>
      </c>
      <c r="J181" s="128">
        <v>405957.119641</v>
      </c>
    </row>
    <row r="182" spans="7:10">
      <c r="G182" s="1" t="b">
        <v>1</v>
      </c>
      <c r="H182" s="167" t="s">
        <v>1713</v>
      </c>
      <c r="I182" s="128">
        <v>1112317.6610511751</v>
      </c>
      <c r="J182" s="128">
        <v>2378507.8007100001</v>
      </c>
    </row>
    <row r="183" spans="7:10">
      <c r="G183" s="1" t="b">
        <v>1</v>
      </c>
      <c r="H183" s="167" t="s">
        <v>1636</v>
      </c>
      <c r="I183" s="128">
        <v>1590.170905718111</v>
      </c>
      <c r="J183" s="128">
        <v>285173.54051999998</v>
      </c>
    </row>
    <row r="184" spans="7:10">
      <c r="G184" s="1" t="b">
        <v>1</v>
      </c>
      <c r="H184" s="167" t="s">
        <v>1683</v>
      </c>
      <c r="I184" s="128">
        <v>1801.933643641089</v>
      </c>
      <c r="J184" s="128">
        <v>270.59017477100002</v>
      </c>
    </row>
    <row r="185" spans="7:10">
      <c r="G185" s="1" t="b">
        <v>0</v>
      </c>
      <c r="H185" s="167" t="s">
        <v>2010</v>
      </c>
      <c r="I185" s="128">
        <v>11665.358274445351</v>
      </c>
      <c r="J185" s="128">
        <v>583.51485814199998</v>
      </c>
    </row>
    <row r="186" spans="7:10">
      <c r="G186" s="1" t="b">
        <v>1</v>
      </c>
      <c r="H186" s="167" t="s">
        <v>2092</v>
      </c>
      <c r="I186" s="128">
        <v>1965044.765975663</v>
      </c>
      <c r="J186" s="128">
        <v>607617.83647700003</v>
      </c>
    </row>
    <row r="187" spans="7:10">
      <c r="G187" s="1" t="b">
        <v>0</v>
      </c>
      <c r="H187" s="167" t="s">
        <v>464</v>
      </c>
      <c r="I187" s="128">
        <v>3059.8602592445181</v>
      </c>
      <c r="J187" s="128">
        <v>0</v>
      </c>
    </row>
    <row r="188" spans="7:10">
      <c r="G188" s="1" t="b">
        <v>0</v>
      </c>
      <c r="H188" s="167" t="s">
        <v>556</v>
      </c>
      <c r="I188" s="128">
        <v>152778.61961003591</v>
      </c>
      <c r="J188" s="128">
        <v>80400.329282399995</v>
      </c>
    </row>
    <row r="189" spans="7:10">
      <c r="G189" s="1" t="b">
        <v>1</v>
      </c>
      <c r="H189" s="167" t="s">
        <v>527</v>
      </c>
      <c r="I189" s="128">
        <v>24903.354425651451</v>
      </c>
      <c r="J189" s="128">
        <v>8278.3716438800002</v>
      </c>
    </row>
    <row r="190" spans="7:10">
      <c r="G190" s="1" t="b">
        <v>1</v>
      </c>
      <c r="H190" s="167" t="s">
        <v>1610</v>
      </c>
      <c r="I190" s="128">
        <v>15757.64347156192</v>
      </c>
      <c r="J190" s="128">
        <v>26175.682045000001</v>
      </c>
    </row>
    <row r="191" spans="7:10">
      <c r="G191" s="1" t="b">
        <v>1</v>
      </c>
      <c r="H191" s="167" t="s">
        <v>431</v>
      </c>
      <c r="I191" s="128">
        <v>10973.50065941876</v>
      </c>
      <c r="J191" s="128">
        <v>11869.0175509</v>
      </c>
    </row>
    <row r="192" spans="7:10">
      <c r="G192" s="1" t="b">
        <v>1</v>
      </c>
      <c r="H192" s="167" t="s">
        <v>1539</v>
      </c>
      <c r="I192" s="128">
        <v>17059.374752642419</v>
      </c>
      <c r="J192" s="128">
        <v>30146.068535400002</v>
      </c>
    </row>
    <row r="193" spans="7:10">
      <c r="G193" s="1" t="b">
        <v>0</v>
      </c>
      <c r="H193" s="167" t="s">
        <v>1531</v>
      </c>
      <c r="I193" s="128">
        <v>37793.413482670039</v>
      </c>
      <c r="J193" s="128">
        <v>1317.3004704299999</v>
      </c>
    </row>
    <row r="194" spans="7:10">
      <c r="G194" s="1" t="b">
        <v>1</v>
      </c>
      <c r="H194" s="167" t="s">
        <v>1534</v>
      </c>
      <c r="I194" s="128">
        <v>240295.59792189961</v>
      </c>
      <c r="J194" s="128">
        <v>71192.291985500007</v>
      </c>
    </row>
    <row r="195" spans="7:10">
      <c r="G195" s="1" t="b">
        <v>0</v>
      </c>
      <c r="H195" s="167" t="s">
        <v>2093</v>
      </c>
      <c r="I195" s="128">
        <v>31503.325492509059</v>
      </c>
      <c r="J195" s="128">
        <v>7984.0462066399996</v>
      </c>
    </row>
    <row r="196" spans="7:10">
      <c r="G196" s="1" t="b">
        <v>1</v>
      </c>
      <c r="H196" s="167" t="s">
        <v>1477</v>
      </c>
      <c r="I196" s="128">
        <v>307541.87611310428</v>
      </c>
      <c r="J196" s="128">
        <v>2570637.6868599998</v>
      </c>
    </row>
    <row r="197" spans="7:10">
      <c r="G197" s="1" t="b">
        <v>1</v>
      </c>
      <c r="H197" s="167" t="s">
        <v>404</v>
      </c>
      <c r="I197" s="128">
        <v>887.67301164398975</v>
      </c>
      <c r="J197" s="128">
        <v>71.847922096899993</v>
      </c>
    </row>
    <row r="198" spans="7:10">
      <c r="G198" s="1" t="b">
        <v>1</v>
      </c>
      <c r="H198" s="167" t="s">
        <v>1567</v>
      </c>
      <c r="I198" s="128">
        <v>157362.34925250319</v>
      </c>
      <c r="J198" s="128">
        <v>4256639.9175300002</v>
      </c>
    </row>
    <row r="199" spans="7:10">
      <c r="G199" s="1" t="b">
        <v>1</v>
      </c>
      <c r="H199" s="167" t="s">
        <v>1522</v>
      </c>
      <c r="I199" s="128">
        <v>215.89371773541001</v>
      </c>
      <c r="J199" s="128">
        <v>180.37986654700001</v>
      </c>
    </row>
    <row r="200" spans="7:10">
      <c r="G200" s="1" t="b">
        <v>1</v>
      </c>
      <c r="H200" s="167" t="s">
        <v>1521</v>
      </c>
      <c r="I200" s="128">
        <v>105565.6049544612</v>
      </c>
      <c r="J200" s="128">
        <v>63259.666244599997</v>
      </c>
    </row>
    <row r="201" spans="7:10">
      <c r="G201" s="1" t="b">
        <v>1</v>
      </c>
      <c r="H201" s="167" t="s">
        <v>1737</v>
      </c>
      <c r="I201" s="128">
        <v>21250.34128367533</v>
      </c>
      <c r="J201" s="128">
        <v>42480.888911100003</v>
      </c>
    </row>
    <row r="202" spans="7:10">
      <c r="G202" s="1" t="b">
        <v>1</v>
      </c>
      <c r="H202" s="167" t="s">
        <v>1480</v>
      </c>
      <c r="I202" s="128">
        <v>30144.639411541979</v>
      </c>
      <c r="J202" s="128">
        <v>948.04665572500005</v>
      </c>
    </row>
    <row r="203" spans="7:10">
      <c r="G203" s="1" t="b">
        <v>1</v>
      </c>
      <c r="H203" s="167" t="s">
        <v>1565</v>
      </c>
      <c r="I203" s="128">
        <v>4843.1180780408849</v>
      </c>
      <c r="J203" s="128">
        <v>229.727648007</v>
      </c>
    </row>
    <row r="204" spans="7:10">
      <c r="G204" s="1" t="b">
        <v>0</v>
      </c>
      <c r="H204" s="167" t="s">
        <v>601</v>
      </c>
      <c r="I204" s="128">
        <v>828.18566243981979</v>
      </c>
      <c r="J204" s="128">
        <v>974.46903808499997</v>
      </c>
    </row>
    <row r="205" spans="7:10">
      <c r="G205" s="1" t="b">
        <v>1</v>
      </c>
      <c r="H205" s="167" t="s">
        <v>1666</v>
      </c>
      <c r="I205" s="128">
        <v>262448.99049626233</v>
      </c>
      <c r="J205" s="128">
        <v>2373888.2732099998</v>
      </c>
    </row>
    <row r="206" spans="7:10">
      <c r="G206" s="1" t="b">
        <v>1</v>
      </c>
      <c r="H206" s="167" t="s">
        <v>1733</v>
      </c>
      <c r="I206" s="128">
        <v>1869.5701102384389</v>
      </c>
      <c r="J206" s="128">
        <v>157.59822814899999</v>
      </c>
    </row>
    <row r="207" spans="7:10">
      <c r="G207" s="1" t="b">
        <v>0</v>
      </c>
      <c r="H207" s="167" t="s">
        <v>1632</v>
      </c>
      <c r="I207" s="128">
        <v>3530.998615895789</v>
      </c>
      <c r="J207" s="128">
        <v>3353.8938358599999</v>
      </c>
    </row>
    <row r="208" spans="7:10">
      <c r="G208" s="1" t="b">
        <v>1</v>
      </c>
      <c r="H208" s="167" t="s">
        <v>1688</v>
      </c>
      <c r="I208" s="128">
        <v>3060.9688141055608</v>
      </c>
      <c r="J208" s="128">
        <v>521.03031854699998</v>
      </c>
    </row>
    <row r="209" spans="7:10">
      <c r="G209" s="1" t="b">
        <v>1</v>
      </c>
      <c r="H209" s="167" t="s">
        <v>1652</v>
      </c>
      <c r="I209" s="128">
        <v>28975.51122294418</v>
      </c>
      <c r="J209" s="128">
        <v>2845709.6586199999</v>
      </c>
    </row>
    <row r="210" spans="7:10">
      <c r="G210" s="1" t="b">
        <v>0</v>
      </c>
      <c r="H210" s="167" t="s">
        <v>318</v>
      </c>
      <c r="I210" s="128">
        <v>52213.393969844161</v>
      </c>
      <c r="J210" s="128">
        <v>524347.03718300001</v>
      </c>
    </row>
    <row r="211" spans="7:10">
      <c r="G211" s="1" t="b">
        <v>0</v>
      </c>
      <c r="H211" s="167" t="s">
        <v>377</v>
      </c>
      <c r="I211" s="128">
        <v>1257925.736534676</v>
      </c>
      <c r="J211" s="128">
        <v>9491810.0724299997</v>
      </c>
    </row>
    <row r="212" spans="7:10">
      <c r="G212" s="1" t="b">
        <v>1</v>
      </c>
      <c r="H212" s="167" t="s">
        <v>1613</v>
      </c>
      <c r="I212" s="128">
        <v>1812266.1463656269</v>
      </c>
      <c r="J212" s="128">
        <v>528507.98808400007</v>
      </c>
    </row>
    <row r="213" spans="7:10">
      <c r="G213" s="1" t="b">
        <v>1</v>
      </c>
      <c r="H213" s="167" t="s">
        <v>1612</v>
      </c>
      <c r="I213" s="128">
        <v>644679.18161097402</v>
      </c>
      <c r="J213" s="128">
        <v>191013.62417600001</v>
      </c>
    </row>
    <row r="214" spans="7:10">
      <c r="G214" s="1" t="b">
        <v>1</v>
      </c>
      <c r="H214" s="167" t="s">
        <v>520</v>
      </c>
      <c r="I214" s="128">
        <v>719833.6664909895</v>
      </c>
      <c r="J214" s="128">
        <v>346000.52817800001</v>
      </c>
    </row>
    <row r="215" spans="7:10">
      <c r="G215" s="1" t="b">
        <v>0</v>
      </c>
      <c r="H215" s="167" t="s">
        <v>2094</v>
      </c>
      <c r="I215" s="128">
        <v>253475.81488098</v>
      </c>
      <c r="J215" s="128">
        <v>30254.644028499999</v>
      </c>
    </row>
    <row r="216" spans="7:10">
      <c r="G216" s="1" t="b">
        <v>0</v>
      </c>
      <c r="H216" s="167" t="s">
        <v>1655</v>
      </c>
      <c r="I216" s="128">
        <v>319111.5773507026</v>
      </c>
      <c r="J216" s="128">
        <v>45795.000800499998</v>
      </c>
    </row>
    <row r="217" spans="7:10">
      <c r="G217" s="1" t="b">
        <v>0</v>
      </c>
      <c r="H217" s="167" t="s">
        <v>2095</v>
      </c>
      <c r="I217" s="128">
        <v>107621.8626800233</v>
      </c>
      <c r="J217" s="128">
        <v>15095.562146099999</v>
      </c>
    </row>
    <row r="218" spans="7:10">
      <c r="G218" s="1" t="b">
        <v>1</v>
      </c>
      <c r="H218" s="167" t="s">
        <v>313</v>
      </c>
      <c r="I218" s="128">
        <v>324799.75941414491</v>
      </c>
      <c r="J218" s="128">
        <v>9713915.159669999</v>
      </c>
    </row>
    <row r="219" spans="7:10">
      <c r="G219" s="1" t="b">
        <v>0</v>
      </c>
      <c r="H219" s="167" t="s">
        <v>1479</v>
      </c>
      <c r="I219" s="128">
        <v>32856.180736242342</v>
      </c>
      <c r="J219" s="128">
        <v>3042.6475270300002</v>
      </c>
    </row>
    <row r="220" spans="7:10">
      <c r="G220" s="1" t="b">
        <v>0</v>
      </c>
      <c r="H220" s="167" t="s">
        <v>1637</v>
      </c>
      <c r="I220" s="128">
        <v>3909502.7460453841</v>
      </c>
      <c r="J220" s="128">
        <v>22555147.077300001</v>
      </c>
    </row>
    <row r="221" spans="7:10">
      <c r="G221" s="1" t="b">
        <v>1</v>
      </c>
      <c r="H221" s="167" t="s">
        <v>1726</v>
      </c>
      <c r="I221" s="128">
        <v>1844.981549835411</v>
      </c>
      <c r="J221" s="128">
        <v>4.6756451072199993E-2</v>
      </c>
    </row>
    <row r="222" spans="7:10">
      <c r="G222" s="1" t="b">
        <v>1</v>
      </c>
      <c r="H222" s="167" t="s">
        <v>1725</v>
      </c>
      <c r="I222" s="128">
        <v>0.74919228413562722</v>
      </c>
      <c r="J222" s="128">
        <v>169.707631776</v>
      </c>
    </row>
    <row r="223" spans="7:10">
      <c r="G223" s="1" t="b">
        <v>1</v>
      </c>
      <c r="H223" s="167" t="s">
        <v>1670</v>
      </c>
      <c r="I223" s="128">
        <v>1844.2323575512751</v>
      </c>
      <c r="J223" s="128">
        <v>55.511339250200002</v>
      </c>
    </row>
    <row r="224" spans="7:10">
      <c r="G224" s="1" t="b">
        <v>1</v>
      </c>
      <c r="H224" s="167" t="s">
        <v>1671</v>
      </c>
      <c r="I224" s="128">
        <v>1930.852078444733</v>
      </c>
      <c r="J224" s="128">
        <v>3894.8765138899998</v>
      </c>
    </row>
    <row r="225" spans="7:10">
      <c r="G225" s="1" t="b">
        <v>0</v>
      </c>
      <c r="H225" s="167" t="s">
        <v>1491</v>
      </c>
      <c r="I225" s="128">
        <v>2776.197226017207</v>
      </c>
      <c r="J225" s="128">
        <v>18304.9591124</v>
      </c>
    </row>
    <row r="226" spans="7:10">
      <c r="G226" s="1" t="b">
        <v>1</v>
      </c>
      <c r="H226" s="167" t="s">
        <v>1583</v>
      </c>
      <c r="I226" s="128">
        <v>5351.1689801977054</v>
      </c>
      <c r="J226" s="128">
        <v>20932.671348299998</v>
      </c>
    </row>
    <row r="227" spans="7:10">
      <c r="G227" s="1" t="b">
        <v>0</v>
      </c>
      <c r="H227" s="167" t="s">
        <v>334</v>
      </c>
      <c r="I227" s="128">
        <v>6348.1979898780664</v>
      </c>
      <c r="J227" s="128">
        <v>55400.10565569999</v>
      </c>
    </row>
    <row r="228" spans="7:10">
      <c r="G228" s="1" t="b">
        <v>1</v>
      </c>
      <c r="H228" s="167" t="s">
        <v>1549</v>
      </c>
      <c r="I228" s="128">
        <v>500474.88456720352</v>
      </c>
      <c r="J228" s="128">
        <v>10228867.369899999</v>
      </c>
    </row>
    <row r="229" spans="7:10">
      <c r="G229" s="1" t="b">
        <v>1</v>
      </c>
      <c r="H229" s="167" t="s">
        <v>395</v>
      </c>
      <c r="I229" s="128">
        <v>95.402315588012016</v>
      </c>
      <c r="J229" s="128">
        <v>315.23065763900001</v>
      </c>
    </row>
    <row r="230" spans="7:10">
      <c r="G230" s="1" t="b">
        <v>0</v>
      </c>
      <c r="H230" s="167" t="s">
        <v>1514</v>
      </c>
      <c r="I230" s="128">
        <v>45732.337535656239</v>
      </c>
      <c r="J230" s="128">
        <v>84558.829329600005</v>
      </c>
    </row>
    <row r="231" spans="7:10">
      <c r="G231" s="1" t="b">
        <v>1</v>
      </c>
      <c r="H231" s="167" t="s">
        <v>605</v>
      </c>
      <c r="I231" s="128">
        <v>48572.254021391462</v>
      </c>
      <c r="J231" s="128">
        <v>10175420.243899999</v>
      </c>
    </row>
    <row r="232" spans="7:10">
      <c r="G232" s="1" t="b">
        <v>1</v>
      </c>
      <c r="H232" s="167" t="s">
        <v>1650</v>
      </c>
      <c r="I232" s="128">
        <v>7176.968876619233</v>
      </c>
      <c r="J232" s="128">
        <v>26623.7159302</v>
      </c>
    </row>
    <row r="233" spans="7:10">
      <c r="G233" s="1" t="b">
        <v>1</v>
      </c>
      <c r="H233" s="167" t="s">
        <v>1669</v>
      </c>
      <c r="I233" s="128">
        <v>9281.9873072283699</v>
      </c>
      <c r="J233" s="128">
        <v>292195.88939800003</v>
      </c>
    </row>
    <row r="234" spans="7:10">
      <c r="G234" s="1" t="b">
        <v>1</v>
      </c>
      <c r="H234" s="167" t="s">
        <v>1735</v>
      </c>
      <c r="I234" s="128">
        <v>488.82597895698581</v>
      </c>
      <c r="J234" s="128">
        <v>8875.0371834399994</v>
      </c>
    </row>
    <row r="235" spans="7:10">
      <c r="G235" s="1" t="b">
        <v>1</v>
      </c>
      <c r="H235" s="167" t="s">
        <v>1492</v>
      </c>
      <c r="I235" s="128">
        <v>15626.482955333389</v>
      </c>
      <c r="J235" s="128">
        <v>9798.2491905799998</v>
      </c>
    </row>
    <row r="236" spans="7:10">
      <c r="G236" s="1" t="b">
        <v>1</v>
      </c>
      <c r="H236" s="167" t="s">
        <v>1660</v>
      </c>
      <c r="I236" s="128">
        <v>59861.048493396447</v>
      </c>
      <c r="J236" s="128">
        <v>124217.511449</v>
      </c>
    </row>
    <row r="237" spans="7:10">
      <c r="G237" s="1" t="b">
        <v>1</v>
      </c>
      <c r="H237" s="167" t="s">
        <v>2096</v>
      </c>
      <c r="I237" s="128">
        <v>14164.40621819115</v>
      </c>
      <c r="J237" s="128">
        <v>38127.824105</v>
      </c>
    </row>
    <row r="238" spans="7:10">
      <c r="G238" s="1" t="b">
        <v>1</v>
      </c>
      <c r="H238" s="167" t="s">
        <v>510</v>
      </c>
      <c r="I238" s="128">
        <v>21056.884203385551</v>
      </c>
      <c r="J238" s="128">
        <v>0</v>
      </c>
    </row>
    <row r="239" spans="7:10">
      <c r="G239" s="1" t="b">
        <v>1</v>
      </c>
      <c r="H239" s="167" t="s">
        <v>2097</v>
      </c>
      <c r="I239" s="128">
        <v>109412.7581827761</v>
      </c>
      <c r="J239" s="128">
        <v>83403.7906754</v>
      </c>
    </row>
    <row r="240" spans="7:10">
      <c r="G240" s="1" t="b">
        <v>1</v>
      </c>
      <c r="H240" s="167" t="s">
        <v>1694</v>
      </c>
      <c r="I240" s="128">
        <v>13569.564966834139</v>
      </c>
      <c r="J240" s="128">
        <v>0</v>
      </c>
    </row>
    <row r="241" spans="7:10">
      <c r="G241" s="1" t="b">
        <v>1</v>
      </c>
      <c r="H241" s="167" t="s">
        <v>1579</v>
      </c>
      <c r="I241" s="128">
        <v>3715.3629502828412</v>
      </c>
      <c r="J241" s="128">
        <v>3496.93195896</v>
      </c>
    </row>
    <row r="242" spans="7:10">
      <c r="G242" s="1" t="b">
        <v>1</v>
      </c>
      <c r="H242" s="167" t="s">
        <v>1644</v>
      </c>
      <c r="I242" s="128">
        <v>43884.947056877289</v>
      </c>
      <c r="J242" s="128">
        <v>340552.49131999997</v>
      </c>
    </row>
    <row r="243" spans="7:10">
      <c r="G243" s="1" t="b">
        <v>1</v>
      </c>
      <c r="H243" s="167" t="s">
        <v>1648</v>
      </c>
      <c r="I243" s="128">
        <v>3578.881075240568</v>
      </c>
      <c r="J243" s="128">
        <v>136108.836117</v>
      </c>
    </row>
    <row r="244" spans="7:10">
      <c r="G244" s="1" t="b">
        <v>0</v>
      </c>
      <c r="H244" s="167" t="s">
        <v>2098</v>
      </c>
      <c r="I244" s="128">
        <v>12791.168083314369</v>
      </c>
      <c r="J244" s="128">
        <v>381326.53240700002</v>
      </c>
    </row>
    <row r="245" spans="7:10">
      <c r="G245" s="1" t="b">
        <v>1</v>
      </c>
      <c r="H245" s="167" t="s">
        <v>2012</v>
      </c>
      <c r="I245" s="128">
        <v>458821.46027006127</v>
      </c>
      <c r="J245" s="128">
        <v>601349.34353199997</v>
      </c>
    </row>
    <row r="246" spans="7:10">
      <c r="G246" s="1" t="b">
        <v>1</v>
      </c>
      <c r="H246" s="167" t="s">
        <v>1734</v>
      </c>
      <c r="I246" s="128">
        <v>911.38382119975927</v>
      </c>
      <c r="J246" s="128">
        <v>0</v>
      </c>
    </row>
    <row r="247" spans="7:10">
      <c r="G247" s="1" t="b">
        <v>1</v>
      </c>
      <c r="H247" s="167" t="s">
        <v>1482</v>
      </c>
      <c r="I247" s="128">
        <v>4680.6804027247481</v>
      </c>
      <c r="J247" s="128">
        <v>589.72362044199997</v>
      </c>
    </row>
    <row r="248" spans="7:10">
      <c r="G248" s="1" t="b">
        <v>1</v>
      </c>
      <c r="H248" s="167" t="s">
        <v>2046</v>
      </c>
      <c r="I248" s="128">
        <v>25387.65314857868</v>
      </c>
      <c r="J248" s="128">
        <v>2636.6878353299999</v>
      </c>
    </row>
    <row r="249" spans="7:10">
      <c r="G249" s="1" t="b">
        <v>1</v>
      </c>
      <c r="H249" s="167" t="s">
        <v>1535</v>
      </c>
      <c r="I249" s="128">
        <v>13186.389929831839</v>
      </c>
      <c r="J249" s="128">
        <v>0</v>
      </c>
    </row>
    <row r="250" spans="7:10">
      <c r="G250" s="1" t="b">
        <v>1</v>
      </c>
      <c r="H250" s="167" t="s">
        <v>1704</v>
      </c>
      <c r="I250" s="128">
        <v>112231.6360351162</v>
      </c>
      <c r="J250" s="128">
        <v>43605.416989799996</v>
      </c>
    </row>
    <row r="251" spans="7:10">
      <c r="G251" s="1" t="b">
        <v>1</v>
      </c>
      <c r="H251" s="167" t="s">
        <v>1654</v>
      </c>
      <c r="I251" s="128">
        <v>27789.83149344461</v>
      </c>
      <c r="J251" s="128">
        <v>371916.72533400002</v>
      </c>
    </row>
    <row r="252" spans="7:10">
      <c r="G252" s="1" t="b">
        <v>1</v>
      </c>
      <c r="H252" s="167" t="s">
        <v>1609</v>
      </c>
      <c r="I252" s="128">
        <v>35255.243959711523</v>
      </c>
      <c r="J252" s="128">
        <v>346305.95595700003</v>
      </c>
    </row>
    <row r="253" spans="7:10">
      <c r="G253" s="1" t="b">
        <v>1</v>
      </c>
      <c r="H253" s="167" t="s">
        <v>562</v>
      </c>
      <c r="I253" s="128">
        <v>46778.920646362632</v>
      </c>
      <c r="J253" s="128">
        <v>408537.19868899998</v>
      </c>
    </row>
    <row r="254" spans="7:10">
      <c r="G254" s="1" t="b">
        <v>0</v>
      </c>
      <c r="H254" s="167" t="s">
        <v>1483</v>
      </c>
      <c r="I254" s="128">
        <v>159398.58270545161</v>
      </c>
      <c r="J254" s="128">
        <v>0</v>
      </c>
    </row>
    <row r="255" spans="7:10">
      <c r="G255" s="1" t="b">
        <v>1</v>
      </c>
      <c r="H255" s="167" t="s">
        <v>1568</v>
      </c>
      <c r="I255" s="128">
        <v>2358.3960891954239</v>
      </c>
      <c r="J255" s="128">
        <v>8815.6978709899995</v>
      </c>
    </row>
    <row r="256" spans="7:10">
      <c r="G256" s="1" t="b">
        <v>0</v>
      </c>
      <c r="H256" s="167" t="s">
        <v>2099</v>
      </c>
      <c r="I256" s="128">
        <v>21158.860493101129</v>
      </c>
      <c r="J256" s="128">
        <v>169.917452572</v>
      </c>
    </row>
    <row r="257" spans="7:10">
      <c r="G257" s="1" t="b">
        <v>1</v>
      </c>
      <c r="H257" s="167" t="s">
        <v>1672</v>
      </c>
      <c r="I257" s="128">
        <v>804090.13187269249</v>
      </c>
      <c r="J257" s="128">
        <v>16823232.134599999</v>
      </c>
    </row>
    <row r="258" spans="7:10">
      <c r="G258" s="1" t="b">
        <v>1</v>
      </c>
      <c r="H258" s="167" t="s">
        <v>2100</v>
      </c>
      <c r="I258" s="128">
        <v>644.11967573576442</v>
      </c>
      <c r="J258" s="128">
        <v>12.460754641199999</v>
      </c>
    </row>
    <row r="259" spans="7:10">
      <c r="G259" s="1" t="b">
        <v>1</v>
      </c>
      <c r="H259" s="167" t="s">
        <v>1517</v>
      </c>
      <c r="I259" s="128">
        <v>6150.9545298839421</v>
      </c>
      <c r="J259" s="128">
        <v>0</v>
      </c>
    </row>
    <row r="260" spans="7:10">
      <c r="G260" s="1" t="b">
        <v>0</v>
      </c>
      <c r="H260" s="167" t="s">
        <v>1633</v>
      </c>
      <c r="I260" s="128">
        <v>10993.64085884411</v>
      </c>
      <c r="J260" s="128">
        <v>379230.48786599998</v>
      </c>
    </row>
    <row r="261" spans="7:10">
      <c r="G261" s="1" t="b">
        <v>1</v>
      </c>
      <c r="H261" s="167" t="s">
        <v>1497</v>
      </c>
      <c r="I261" s="128">
        <v>2341.616166161939</v>
      </c>
      <c r="J261" s="128">
        <v>180.652414806</v>
      </c>
    </row>
    <row r="262" spans="7:10">
      <c r="G262" s="1" t="b">
        <v>1</v>
      </c>
      <c r="H262" s="167" t="s">
        <v>1523</v>
      </c>
      <c r="I262" s="128">
        <v>91.685725507768225</v>
      </c>
      <c r="J262" s="128">
        <v>49.993338937300003</v>
      </c>
    </row>
    <row r="263" spans="7:10">
      <c r="G263" s="1" t="b">
        <v>1</v>
      </c>
      <c r="H263" s="167" t="s">
        <v>1513</v>
      </c>
      <c r="I263" s="128">
        <v>4200.2798351927722</v>
      </c>
      <c r="J263" s="128">
        <v>20685.8948323</v>
      </c>
    </row>
    <row r="264" spans="7:10">
      <c r="G264" s="1" t="b">
        <v>1</v>
      </c>
      <c r="H264" s="167" t="s">
        <v>1689</v>
      </c>
      <c r="I264" s="128">
        <v>4693.2357163415681</v>
      </c>
      <c r="J264" s="128">
        <v>206415.39264599999</v>
      </c>
    </row>
    <row r="265" spans="7:10">
      <c r="G265" s="1" t="b">
        <v>1</v>
      </c>
      <c r="H265" s="167" t="s">
        <v>1508</v>
      </c>
      <c r="I265" s="128">
        <v>1859.3434036844801</v>
      </c>
      <c r="J265" s="128">
        <v>52674.133829099999</v>
      </c>
    </row>
    <row r="266" spans="7:10">
      <c r="G266" s="1" t="b">
        <v>1</v>
      </c>
      <c r="H266" s="167" t="s">
        <v>1572</v>
      </c>
      <c r="I266" s="128">
        <v>6134.9046274516186</v>
      </c>
      <c r="J266" s="128">
        <v>1063188.99633</v>
      </c>
    </row>
    <row r="267" spans="7:10">
      <c r="G267" s="1" t="b">
        <v>1</v>
      </c>
      <c r="H267" s="167" t="s">
        <v>1588</v>
      </c>
      <c r="I267" s="128">
        <v>21447.94067022251</v>
      </c>
      <c r="J267" s="128">
        <v>97028.33193130001</v>
      </c>
    </row>
    <row r="268" spans="7:10">
      <c r="G268" s="1" t="b">
        <v>1</v>
      </c>
      <c r="H268" s="167" t="s">
        <v>1602</v>
      </c>
      <c r="I268" s="128">
        <v>29018.995177977969</v>
      </c>
      <c r="J268" s="128">
        <v>159378.124622</v>
      </c>
    </row>
    <row r="269" spans="7:10">
      <c r="G269" s="1" t="b">
        <v>1</v>
      </c>
      <c r="H269" s="167" t="s">
        <v>587</v>
      </c>
      <c r="I269" s="128">
        <v>30576.443989425541</v>
      </c>
      <c r="J269" s="128">
        <v>328520.612845</v>
      </c>
    </row>
    <row r="270" spans="7:10">
      <c r="G270" s="1" t="b">
        <v>1</v>
      </c>
      <c r="H270" s="167" t="s">
        <v>1512</v>
      </c>
      <c r="I270" s="128">
        <v>12484.563580700509</v>
      </c>
      <c r="J270" s="128">
        <v>0</v>
      </c>
    </row>
    <row r="271" spans="7:10">
      <c r="G271" s="1" t="b">
        <v>1</v>
      </c>
      <c r="H271" s="167" t="s">
        <v>1530</v>
      </c>
      <c r="I271" s="128">
        <v>11710.09531126864</v>
      </c>
      <c r="J271" s="128">
        <v>102020.936873</v>
      </c>
    </row>
    <row r="272" spans="7:10">
      <c r="G272" s="1" t="b">
        <v>1</v>
      </c>
      <c r="H272" s="167" t="s">
        <v>1638</v>
      </c>
      <c r="I272" s="128">
        <v>9698.3368627078889</v>
      </c>
      <c r="J272" s="128">
        <v>481861.50175900001</v>
      </c>
    </row>
    <row r="273" spans="7:10">
      <c r="G273" s="1" t="b">
        <v>1</v>
      </c>
      <c r="H273" s="167" t="s">
        <v>1635</v>
      </c>
      <c r="I273" s="128">
        <v>6943.0189933307938</v>
      </c>
      <c r="J273" s="128">
        <v>1546.8823197700001</v>
      </c>
    </row>
    <row r="274" spans="7:10">
      <c r="G274" s="1" t="b">
        <v>1</v>
      </c>
      <c r="H274" s="167" t="s">
        <v>1561</v>
      </c>
      <c r="I274" s="128">
        <v>6332.8195435835014</v>
      </c>
      <c r="J274" s="128">
        <v>185.82303721599999</v>
      </c>
    </row>
    <row r="275" spans="7:10">
      <c r="G275" s="1" t="b">
        <v>1</v>
      </c>
      <c r="H275" s="167" t="s">
        <v>538</v>
      </c>
      <c r="I275" s="128">
        <v>13314.29576393453</v>
      </c>
      <c r="J275" s="128">
        <v>4737.8065800300001</v>
      </c>
    </row>
    <row r="276" spans="7:10">
      <c r="G276" s="1" t="b">
        <v>1</v>
      </c>
      <c r="H276" s="167" t="s">
        <v>1527</v>
      </c>
      <c r="I276" s="128">
        <v>43375.551490604463</v>
      </c>
      <c r="J276" s="128">
        <v>249.35034288099999</v>
      </c>
    </row>
    <row r="277" spans="7:10">
      <c r="G277" s="1" t="b">
        <v>1</v>
      </c>
      <c r="H277" s="167" t="s">
        <v>1564</v>
      </c>
      <c r="I277" s="128">
        <v>2789.8110326741412</v>
      </c>
      <c r="J277" s="128">
        <v>192.142456079</v>
      </c>
    </row>
    <row r="278" spans="7:10">
      <c r="G278" s="1" t="b">
        <v>1</v>
      </c>
      <c r="H278" s="167" t="s">
        <v>1519</v>
      </c>
      <c r="I278" s="128">
        <v>6079.2584204746108</v>
      </c>
      <c r="J278" s="128">
        <v>6617.2549813599999</v>
      </c>
    </row>
    <row r="279" spans="7:10">
      <c r="G279" s="1" t="b">
        <v>1</v>
      </c>
      <c r="H279" s="167" t="s">
        <v>591</v>
      </c>
      <c r="I279" s="128">
        <v>70130.451922045817</v>
      </c>
      <c r="J279" s="128">
        <v>72906.383291499995</v>
      </c>
    </row>
    <row r="280" spans="7:10">
      <c r="G280" s="1" t="b">
        <v>1</v>
      </c>
      <c r="H280" s="167" t="s">
        <v>1516</v>
      </c>
      <c r="I280" s="128">
        <v>24257.269179917908</v>
      </c>
      <c r="J280" s="128">
        <v>43092.342758400002</v>
      </c>
    </row>
    <row r="281" spans="7:10">
      <c r="G281" s="1" t="b">
        <v>1</v>
      </c>
      <c r="H281" s="167" t="s">
        <v>568</v>
      </c>
      <c r="I281" s="128">
        <v>19317.527502760651</v>
      </c>
      <c r="J281" s="128">
        <v>2949563.2265300001</v>
      </c>
    </row>
    <row r="282" spans="7:10">
      <c r="G282" s="1" t="b">
        <v>1</v>
      </c>
      <c r="H282" s="167" t="s">
        <v>1592</v>
      </c>
      <c r="I282" s="128">
        <v>991.26260896995075</v>
      </c>
      <c r="J282" s="128">
        <v>139257.996556</v>
      </c>
    </row>
    <row r="283" spans="7:10">
      <c r="G283" s="1" t="b">
        <v>1</v>
      </c>
      <c r="H283" s="167" t="s">
        <v>1594</v>
      </c>
      <c r="I283" s="128">
        <v>60820.00043089332</v>
      </c>
      <c r="J283" s="128">
        <v>8192.5873047099994</v>
      </c>
    </row>
    <row r="284" spans="7:10">
      <c r="G284" s="1" t="b">
        <v>1</v>
      </c>
      <c r="H284" s="167" t="s">
        <v>1593</v>
      </c>
      <c r="I284" s="128">
        <v>28817.846810029889</v>
      </c>
      <c r="J284" s="128">
        <v>87711.124354899992</v>
      </c>
    </row>
    <row r="285" spans="7:10">
      <c r="G285" s="1" t="b">
        <v>1</v>
      </c>
      <c r="H285" s="167" t="s">
        <v>1532</v>
      </c>
      <c r="I285" s="128">
        <v>46442.118587382043</v>
      </c>
      <c r="J285" s="128">
        <v>56470.860838600012</v>
      </c>
    </row>
    <row r="286" spans="7:10">
      <c r="G286" s="1" t="b">
        <v>0</v>
      </c>
      <c r="H286" s="167" t="s">
        <v>1493</v>
      </c>
      <c r="I286" s="128">
        <v>46155.123794374922</v>
      </c>
      <c r="J286" s="128">
        <v>15402.7350778</v>
      </c>
    </row>
    <row r="287" spans="7:10">
      <c r="G287" s="1" t="b">
        <v>1</v>
      </c>
      <c r="H287" s="167" t="s">
        <v>1575</v>
      </c>
      <c r="I287" s="128">
        <v>178.39318892364119</v>
      </c>
      <c r="J287" s="128">
        <v>231.604738693</v>
      </c>
    </row>
    <row r="288" spans="7:10">
      <c r="G288" s="1" t="b">
        <v>1</v>
      </c>
      <c r="H288" s="167" t="s">
        <v>1576</v>
      </c>
      <c r="I288" s="128">
        <v>4044.7344535842649</v>
      </c>
      <c r="J288" s="128">
        <v>1360.9354065800001</v>
      </c>
    </row>
    <row r="289" spans="7:10">
      <c r="G289" s="1" t="b">
        <v>0</v>
      </c>
      <c r="H289" s="167" t="s">
        <v>574</v>
      </c>
      <c r="I289" s="128">
        <v>12648.19364506891</v>
      </c>
      <c r="J289" s="128">
        <v>6159.4588639800004</v>
      </c>
    </row>
    <row r="290" spans="7:10">
      <c r="G290" s="1" t="b">
        <v>1</v>
      </c>
      <c r="H290" s="167" t="s">
        <v>1716</v>
      </c>
      <c r="I290" s="128">
        <v>16692.92809865317</v>
      </c>
      <c r="J290" s="128">
        <v>7520.3942705500003</v>
      </c>
    </row>
    <row r="291" spans="7:10">
      <c r="G291" s="1" t="b">
        <v>1</v>
      </c>
      <c r="H291" s="167" t="s">
        <v>1643</v>
      </c>
      <c r="I291" s="128">
        <v>987.54197921553271</v>
      </c>
      <c r="J291" s="128">
        <v>114799.87031499999</v>
      </c>
    </row>
    <row r="292" spans="7:10">
      <c r="G292" s="1" t="b">
        <v>1</v>
      </c>
      <c r="H292" s="167" t="s">
        <v>1630</v>
      </c>
      <c r="I292" s="128">
        <v>9947.9885526669841</v>
      </c>
      <c r="J292" s="128">
        <v>1196695.98936</v>
      </c>
    </row>
    <row r="293" spans="7:10">
      <c r="G293" s="1" t="b">
        <v>1</v>
      </c>
      <c r="H293" s="167" t="s">
        <v>1614</v>
      </c>
      <c r="I293" s="128">
        <v>37468.030802481917</v>
      </c>
      <c r="J293" s="128">
        <v>8849.3564900599995</v>
      </c>
    </row>
    <row r="294" spans="7:10">
      <c r="G294" s="1" t="b">
        <v>1</v>
      </c>
      <c r="H294" s="167" t="s">
        <v>1505</v>
      </c>
      <c r="I294" s="128">
        <v>195893.3779221455</v>
      </c>
      <c r="J294" s="128">
        <v>304877.88942800002</v>
      </c>
    </row>
    <row r="295" spans="7:10">
      <c r="G295" s="1" t="b">
        <v>1</v>
      </c>
      <c r="H295" s="167" t="s">
        <v>1665</v>
      </c>
      <c r="I295" s="128">
        <v>1894.766001041763</v>
      </c>
      <c r="J295" s="128">
        <v>177390.557715</v>
      </c>
    </row>
    <row r="296" spans="7:10">
      <c r="G296" s="1" t="b">
        <v>1</v>
      </c>
      <c r="H296" s="167" t="s">
        <v>1585</v>
      </c>
      <c r="I296" s="128">
        <v>11047.85055700607</v>
      </c>
      <c r="J296" s="128">
        <v>126488.162081</v>
      </c>
    </row>
    <row r="297" spans="7:10">
      <c r="G297" s="1" t="b">
        <v>1</v>
      </c>
      <c r="H297" s="167" t="s">
        <v>1499</v>
      </c>
      <c r="I297" s="128">
        <v>43871.346738547858</v>
      </c>
      <c r="J297" s="128">
        <v>6063.5539108700004</v>
      </c>
    </row>
    <row r="298" spans="7:10">
      <c r="G298" s="1" t="b">
        <v>1</v>
      </c>
      <c r="H298" s="167" t="s">
        <v>1552</v>
      </c>
      <c r="I298" s="128">
        <v>10545.399344444781</v>
      </c>
      <c r="J298" s="128">
        <v>86537.680577100007</v>
      </c>
    </row>
    <row r="299" spans="7:10">
      <c r="G299" s="1" t="b">
        <v>1</v>
      </c>
      <c r="H299" s="167" t="s">
        <v>1687</v>
      </c>
      <c r="I299" s="128">
        <v>4599.7947779399601</v>
      </c>
      <c r="J299" s="128">
        <v>2.0850094392999998</v>
      </c>
    </row>
    <row r="300" spans="7:10">
      <c r="G300" s="1" t="b">
        <v>0</v>
      </c>
      <c r="H300" s="167" t="s">
        <v>2101</v>
      </c>
      <c r="I300" s="128">
        <v>17532.030903705428</v>
      </c>
      <c r="J300" s="128">
        <v>407775.68637200003</v>
      </c>
    </row>
    <row r="301" spans="7:10">
      <c r="G301" s="1" t="b">
        <v>0</v>
      </c>
      <c r="H301" s="167" t="s">
        <v>504</v>
      </c>
      <c r="I301" s="128">
        <v>1371784.75127066</v>
      </c>
      <c r="J301" s="128">
        <v>8663418.4849699996</v>
      </c>
    </row>
    <row r="302" spans="7:10">
      <c r="G302" s="1" t="b">
        <v>1</v>
      </c>
      <c r="H302" s="167" t="s">
        <v>540</v>
      </c>
      <c r="I302" s="128">
        <v>28365.407598443049</v>
      </c>
      <c r="J302" s="128">
        <v>202217.44639200001</v>
      </c>
    </row>
    <row r="303" spans="7:10">
      <c r="G303" s="1" t="b">
        <v>0</v>
      </c>
      <c r="H303" s="167" t="s">
        <v>1518</v>
      </c>
      <c r="I303" s="128">
        <v>3310.7736381934201</v>
      </c>
      <c r="J303" s="128">
        <v>19709.6774573</v>
      </c>
    </row>
    <row r="304" spans="7:10">
      <c r="G304" s="1" t="b">
        <v>1</v>
      </c>
      <c r="H304" s="167" t="s">
        <v>1500</v>
      </c>
      <c r="I304" s="128">
        <v>208097.74734653989</v>
      </c>
      <c r="J304" s="128">
        <v>240536.83465400001</v>
      </c>
    </row>
    <row r="305" spans="7:10">
      <c r="G305" s="1" t="b">
        <v>1</v>
      </c>
      <c r="H305" s="167" t="s">
        <v>1546</v>
      </c>
      <c r="I305" s="128">
        <v>10992.076733295549</v>
      </c>
      <c r="J305" s="128">
        <v>425645.89232599997</v>
      </c>
    </row>
    <row r="306" spans="7:10">
      <c r="G306" s="1" t="b">
        <v>0</v>
      </c>
      <c r="H306" s="167" t="s">
        <v>471</v>
      </c>
      <c r="I306" s="128">
        <v>52649.606432669563</v>
      </c>
      <c r="J306" s="128">
        <v>5252305.9707300002</v>
      </c>
    </row>
    <row r="307" spans="7:10">
      <c r="G307" s="1" t="b">
        <v>1</v>
      </c>
      <c r="H307" s="167" t="s">
        <v>1679</v>
      </c>
      <c r="I307" s="128">
        <v>21015.58279132974</v>
      </c>
      <c r="J307" s="128">
        <v>32752.580426699998</v>
      </c>
    </row>
    <row r="308" spans="7:10">
      <c r="G308" s="1" t="b">
        <v>0</v>
      </c>
      <c r="H308" s="167" t="s">
        <v>1589</v>
      </c>
      <c r="I308" s="128">
        <v>73.201663248002745</v>
      </c>
      <c r="J308" s="128">
        <v>5327.1945408700003</v>
      </c>
    </row>
    <row r="309" spans="7:10">
      <c r="G309" s="1" t="b">
        <v>0</v>
      </c>
      <c r="H309" s="167" t="s">
        <v>2102</v>
      </c>
      <c r="I309" s="128">
        <v>81967.430985321815</v>
      </c>
      <c r="J309" s="128">
        <v>11319.609987100001</v>
      </c>
    </row>
    <row r="310" spans="7:10">
      <c r="G310" s="1" t="b">
        <v>1</v>
      </c>
      <c r="H310" s="167" t="s">
        <v>1590</v>
      </c>
      <c r="I310" s="128">
        <v>227054.01032038761</v>
      </c>
      <c r="J310" s="128">
        <v>609746.99166599999</v>
      </c>
    </row>
    <row r="311" spans="7:10">
      <c r="G311" s="1" t="b">
        <v>1</v>
      </c>
      <c r="H311" s="167" t="s">
        <v>1591</v>
      </c>
      <c r="I311" s="128">
        <v>8222.2679822827304</v>
      </c>
      <c r="J311" s="128">
        <v>180.32438763499999</v>
      </c>
    </row>
    <row r="312" spans="7:10">
      <c r="G312" s="1" t="b">
        <v>0</v>
      </c>
      <c r="H312" s="167" t="s">
        <v>2103</v>
      </c>
      <c r="I312" s="128">
        <v>73745.163003039095</v>
      </c>
      <c r="J312" s="128">
        <v>11139.285599500001</v>
      </c>
    </row>
    <row r="313" spans="7:10">
      <c r="G313" s="1" t="b">
        <v>1</v>
      </c>
      <c r="H313" s="167" t="s">
        <v>1732</v>
      </c>
      <c r="I313" s="128">
        <v>157066.10842581879</v>
      </c>
      <c r="J313" s="128">
        <v>5020114.3845100002</v>
      </c>
    </row>
    <row r="314" spans="7:10">
      <c r="G314" s="1" t="b">
        <v>0</v>
      </c>
      <c r="H314" s="167" t="s">
        <v>1618</v>
      </c>
      <c r="I314" s="128">
        <v>3385.848287797096</v>
      </c>
      <c r="J314" s="128">
        <v>397574.25142300001</v>
      </c>
    </row>
    <row r="315" spans="7:10">
      <c r="G315" s="1" t="b">
        <v>1</v>
      </c>
      <c r="H315" s="167" t="s">
        <v>559</v>
      </c>
      <c r="I315" s="128">
        <v>100136.0840483497</v>
      </c>
      <c r="J315" s="128">
        <v>4275298.7540199999</v>
      </c>
    </row>
    <row r="316" spans="7:10">
      <c r="G316" s="1" t="b">
        <v>1</v>
      </c>
      <c r="H316" s="167" t="s">
        <v>1597</v>
      </c>
      <c r="I316" s="128">
        <v>59147.925958924403</v>
      </c>
      <c r="J316" s="128">
        <v>31754.573450700002</v>
      </c>
    </row>
    <row r="317" spans="7:10">
      <c r="G317" s="1" t="b">
        <v>1</v>
      </c>
      <c r="H317" s="167" t="s">
        <v>1494</v>
      </c>
      <c r="I317" s="128">
        <v>10143.94357156156</v>
      </c>
      <c r="J317" s="128">
        <v>3302919.5236999998</v>
      </c>
    </row>
    <row r="318" spans="7:10">
      <c r="G318" s="1" t="b">
        <v>0</v>
      </c>
      <c r="H318" s="167" t="s">
        <v>2104</v>
      </c>
      <c r="I318" s="128">
        <v>35.410370269381318</v>
      </c>
      <c r="J318" s="128">
        <v>54.740812708999997</v>
      </c>
    </row>
    <row r="319" spans="7:10">
      <c r="G319" s="1" t="b">
        <v>1</v>
      </c>
      <c r="H319" s="167" t="s">
        <v>1604</v>
      </c>
      <c r="I319" s="128">
        <v>146704.71732465099</v>
      </c>
      <c r="J319" s="128">
        <v>6651558.2938900003</v>
      </c>
    </row>
    <row r="320" spans="7:10">
      <c r="G320" s="1" t="b">
        <v>0</v>
      </c>
      <c r="H320" s="167" t="s">
        <v>1484</v>
      </c>
      <c r="I320" s="128">
        <v>13424.692273418201</v>
      </c>
      <c r="J320" s="128">
        <v>782.82030670500001</v>
      </c>
    </row>
    <row r="321" spans="7:10">
      <c r="G321" s="1" t="b">
        <v>1</v>
      </c>
      <c r="H321" s="167" t="s">
        <v>1487</v>
      </c>
      <c r="I321" s="128">
        <v>264400.40122014598</v>
      </c>
      <c r="J321" s="128">
        <v>140939.42344499999</v>
      </c>
    </row>
    <row r="322" spans="7:10">
      <c r="G322" s="1" t="b">
        <v>0</v>
      </c>
      <c r="H322" s="167" t="s">
        <v>2019</v>
      </c>
      <c r="I322" s="128">
        <v>17791.196840510831</v>
      </c>
      <c r="J322" s="128">
        <v>14403.4658382</v>
      </c>
    </row>
    <row r="323" spans="7:10">
      <c r="G323" s="1" t="b">
        <v>1</v>
      </c>
      <c r="H323" s="167" t="s">
        <v>2105</v>
      </c>
      <c r="I323" s="128">
        <v>84267.973997834488</v>
      </c>
      <c r="J323" s="128">
        <v>326115.97703000001</v>
      </c>
    </row>
    <row r="324" spans="7:10">
      <c r="G324" s="1" t="b">
        <v>1</v>
      </c>
      <c r="H324" s="167" t="s">
        <v>1619</v>
      </c>
      <c r="I324" s="128">
        <v>41620.42899377743</v>
      </c>
      <c r="J324" s="128">
        <v>0</v>
      </c>
    </row>
    <row r="325" spans="7:10">
      <c r="G325" s="1" t="b">
        <v>1</v>
      </c>
      <c r="H325" s="167" t="s">
        <v>1566</v>
      </c>
      <c r="I325" s="128">
        <v>93341.563725335116</v>
      </c>
      <c r="J325" s="128">
        <v>277824.87250200001</v>
      </c>
    </row>
    <row r="326" spans="7:10">
      <c r="G326" s="1" t="b">
        <v>1</v>
      </c>
      <c r="H326" s="167" t="s">
        <v>1639</v>
      </c>
      <c r="I326" s="128">
        <v>22449.800219824479</v>
      </c>
      <c r="J326" s="128">
        <v>7340266.9232299998</v>
      </c>
    </row>
    <row r="327" spans="7:10">
      <c r="G327" s="1" t="b">
        <v>1</v>
      </c>
      <c r="H327" s="167" t="s">
        <v>406</v>
      </c>
      <c r="I327" s="128">
        <v>720.094457163176</v>
      </c>
      <c r="J327" s="128">
        <v>132.65864942499999</v>
      </c>
    </row>
    <row r="328" spans="7:10">
      <c r="G328" s="1" t="b">
        <v>1</v>
      </c>
      <c r="H328" s="167" t="s">
        <v>1646</v>
      </c>
      <c r="I328" s="128">
        <v>10344.105616084211</v>
      </c>
      <c r="J328" s="128">
        <v>287.451132906</v>
      </c>
    </row>
    <row r="329" spans="7:10">
      <c r="G329" s="1" t="b">
        <v>1</v>
      </c>
      <c r="H329" s="167" t="s">
        <v>1596</v>
      </c>
      <c r="I329" s="128">
        <v>5684.5445827139347</v>
      </c>
      <c r="J329" s="128">
        <v>1437.11309955</v>
      </c>
    </row>
    <row r="330" spans="7:10">
      <c r="G330" s="1" t="b">
        <v>1</v>
      </c>
      <c r="H330" s="167" t="s">
        <v>1476</v>
      </c>
      <c r="I330" s="128">
        <v>13989.76787912434</v>
      </c>
      <c r="J330" s="128">
        <v>1246203.9220499999</v>
      </c>
    </row>
    <row r="331" spans="7:10">
      <c r="G331" s="1" t="b">
        <v>1</v>
      </c>
      <c r="H331" s="167" t="s">
        <v>1628</v>
      </c>
      <c r="I331" s="128">
        <v>1246.320409624914</v>
      </c>
      <c r="J331" s="128">
        <v>848.85676456100009</v>
      </c>
    </row>
    <row r="332" spans="7:10">
      <c r="G332" s="1" t="b">
        <v>1</v>
      </c>
      <c r="H332" s="167" t="s">
        <v>608</v>
      </c>
      <c r="I332" s="128">
        <v>15330.854795305029</v>
      </c>
      <c r="J332" s="128">
        <v>624.00779202199999</v>
      </c>
    </row>
    <row r="333" spans="7:10">
      <c r="G333" s="1" t="b">
        <v>0</v>
      </c>
      <c r="H333" s="167" t="s">
        <v>535</v>
      </c>
      <c r="I333" s="128">
        <v>1357.59736915706</v>
      </c>
      <c r="J333" s="128">
        <v>11636.5248008</v>
      </c>
    </row>
    <row r="334" spans="7:10">
      <c r="G334" s="1" t="b">
        <v>1</v>
      </c>
      <c r="H334" s="167" t="s">
        <v>1622</v>
      </c>
      <c r="I334" s="128">
        <v>229545.6880167624</v>
      </c>
      <c r="J334" s="128">
        <v>337565.166585</v>
      </c>
    </row>
    <row r="335" spans="7:10">
      <c r="G335" s="1" t="b">
        <v>1</v>
      </c>
      <c r="H335" s="167" t="s">
        <v>1606</v>
      </c>
      <c r="I335" s="128">
        <v>1019.85202528169</v>
      </c>
      <c r="J335" s="128">
        <v>593474.40813500003</v>
      </c>
    </row>
    <row r="336" spans="7:10">
      <c r="G336" s="1" t="b">
        <v>0</v>
      </c>
      <c r="H336" s="167" t="s">
        <v>320</v>
      </c>
      <c r="I336" s="128">
        <v>303.38871371846352</v>
      </c>
      <c r="J336" s="128">
        <v>620452.16057099996</v>
      </c>
    </row>
    <row r="337" spans="7:10">
      <c r="G337" s="1" t="b">
        <v>1</v>
      </c>
      <c r="H337" s="167" t="s">
        <v>1658</v>
      </c>
      <c r="I337" s="128">
        <v>348478.83892033168</v>
      </c>
      <c r="J337" s="128">
        <v>7788811.3970100004</v>
      </c>
    </row>
    <row r="338" spans="7:10">
      <c r="G338" s="1" t="b">
        <v>0</v>
      </c>
      <c r="H338" s="167" t="s">
        <v>1743</v>
      </c>
      <c r="I338" s="128">
        <v>53.793750320074409</v>
      </c>
      <c r="J338" s="128">
        <v>3190.71654463</v>
      </c>
    </row>
    <row r="339" spans="7:10">
      <c r="G339" s="1" t="b">
        <v>1</v>
      </c>
      <c r="H339" s="167" t="s">
        <v>1526</v>
      </c>
      <c r="I339" s="128">
        <v>31424.430183569981</v>
      </c>
      <c r="J339" s="128">
        <v>0</v>
      </c>
    </row>
    <row r="340" spans="7:10">
      <c r="G340" s="1" t="b">
        <v>1</v>
      </c>
      <c r="H340" s="167" t="s">
        <v>1578</v>
      </c>
      <c r="I340" s="128">
        <v>28634.619150895851</v>
      </c>
      <c r="J340" s="128">
        <v>1608.37807464</v>
      </c>
    </row>
    <row r="341" spans="7:10">
      <c r="G341" s="1" t="b">
        <v>0</v>
      </c>
      <c r="H341" s="167" t="s">
        <v>2106</v>
      </c>
      <c r="I341" s="128">
        <v>17336.05293414398</v>
      </c>
      <c r="J341" s="128">
        <v>23431.992595600001</v>
      </c>
    </row>
    <row r="342" spans="7:10">
      <c r="G342" s="1" t="b">
        <v>0</v>
      </c>
      <c r="H342" s="167" t="s">
        <v>1682</v>
      </c>
      <c r="I342" s="128">
        <v>440178.65009765368</v>
      </c>
      <c r="J342" s="128">
        <v>1465613.04853</v>
      </c>
    </row>
    <row r="343" spans="7:10">
      <c r="G343" s="1" t="b">
        <v>1</v>
      </c>
      <c r="H343" s="167" t="s">
        <v>1529</v>
      </c>
      <c r="I343" s="128">
        <v>65370.086371043843</v>
      </c>
      <c r="J343" s="128">
        <v>2088975.9304599999</v>
      </c>
    </row>
    <row r="344" spans="7:10">
      <c r="G344" s="1" t="b">
        <v>0</v>
      </c>
      <c r="H344" s="167" t="s">
        <v>1709</v>
      </c>
      <c r="I344" s="128">
        <v>20159.423251076321</v>
      </c>
      <c r="J344" s="128">
        <v>760300.901495</v>
      </c>
    </row>
    <row r="345" spans="7:10">
      <c r="G345" s="1" t="b">
        <v>1</v>
      </c>
      <c r="H345" s="167" t="s">
        <v>1710</v>
      </c>
      <c r="I345" s="128">
        <v>36582.79130478805</v>
      </c>
      <c r="J345" s="128">
        <v>463670.21813900012</v>
      </c>
    </row>
    <row r="346" spans="7:10">
      <c r="G346" s="1" t="b">
        <v>1</v>
      </c>
      <c r="H346" s="167" t="s">
        <v>1662</v>
      </c>
      <c r="I346" s="128">
        <v>16262.70246350472</v>
      </c>
      <c r="J346" s="128">
        <v>10514.3250364</v>
      </c>
    </row>
    <row r="347" spans="7:10">
      <c r="G347" s="1" t="b">
        <v>1</v>
      </c>
      <c r="H347" s="167" t="s">
        <v>1711</v>
      </c>
      <c r="I347" s="128">
        <v>10651.469866437081</v>
      </c>
      <c r="J347" s="128">
        <v>18030.4106938</v>
      </c>
    </row>
    <row r="348" spans="7:10">
      <c r="G348" s="1" t="b">
        <v>1</v>
      </c>
      <c r="H348" s="167" t="s">
        <v>1506</v>
      </c>
      <c r="I348" s="128">
        <v>576.16946844826543</v>
      </c>
      <c r="J348" s="128">
        <v>5607.1064195099998</v>
      </c>
    </row>
    <row r="349" spans="7:10">
      <c r="G349" s="1" t="b">
        <v>1</v>
      </c>
      <c r="H349" s="167" t="s">
        <v>1629</v>
      </c>
      <c r="I349" s="128">
        <v>18456.781135190151</v>
      </c>
      <c r="J349" s="128">
        <v>306819.252201</v>
      </c>
    </row>
    <row r="350" spans="7:10">
      <c r="G350" s="1" t="b">
        <v>1</v>
      </c>
      <c r="H350" s="167" t="s">
        <v>1715</v>
      </c>
      <c r="I350" s="128">
        <v>2628.0175482229351</v>
      </c>
      <c r="J350" s="128">
        <v>953.77538857000002</v>
      </c>
    </row>
    <row r="351" spans="7:10">
      <c r="G351" s="1" t="b">
        <v>1</v>
      </c>
      <c r="H351" s="167" t="s">
        <v>1540</v>
      </c>
      <c r="I351" s="128">
        <v>3796.0821716788082</v>
      </c>
      <c r="J351" s="128">
        <v>299011.41899600002</v>
      </c>
    </row>
    <row r="352" spans="7:10">
      <c r="G352" s="1" t="b">
        <v>1</v>
      </c>
      <c r="H352" s="167" t="s">
        <v>1560</v>
      </c>
      <c r="I352" s="128">
        <v>15732.570664588369</v>
      </c>
      <c r="J352" s="128">
        <v>18023.214181399999</v>
      </c>
    </row>
    <row r="353" spans="7:10">
      <c r="G353" s="1" t="b">
        <v>1</v>
      </c>
      <c r="H353" s="167" t="s">
        <v>1582</v>
      </c>
      <c r="I353" s="128">
        <v>2679.4095219870242</v>
      </c>
      <c r="J353" s="128">
        <v>51.203177708199988</v>
      </c>
    </row>
    <row r="354" spans="7:10">
      <c r="G354" s="1" t="b">
        <v>1</v>
      </c>
      <c r="H354" s="167" t="s">
        <v>1502</v>
      </c>
      <c r="I354" s="128">
        <v>17460.12473055585</v>
      </c>
      <c r="J354" s="128">
        <v>30896.680734400001</v>
      </c>
    </row>
    <row r="355" spans="7:10">
      <c r="G355" s="1" t="b">
        <v>1</v>
      </c>
      <c r="H355" s="167" t="s">
        <v>1543</v>
      </c>
      <c r="I355" s="128">
        <v>14509.91922823291</v>
      </c>
      <c r="J355" s="128">
        <v>470222.04361000011</v>
      </c>
    </row>
    <row r="356" spans="7:10">
      <c r="G356" s="1" t="b">
        <v>1</v>
      </c>
      <c r="H356" s="167" t="s">
        <v>1616</v>
      </c>
      <c r="I356" s="128">
        <v>135.33720587449011</v>
      </c>
      <c r="J356" s="128">
        <v>2.1164173637900001</v>
      </c>
    </row>
    <row r="357" spans="7:10">
      <c r="G357" s="1" t="b">
        <v>1</v>
      </c>
      <c r="H357" s="167" t="s">
        <v>1538</v>
      </c>
      <c r="I357" s="128">
        <v>88943.718265811869</v>
      </c>
      <c r="J357" s="128">
        <v>5477899.2010500003</v>
      </c>
    </row>
    <row r="358" spans="7:10">
      <c r="G358" s="1" t="b">
        <v>1</v>
      </c>
      <c r="H358" s="167" t="s">
        <v>1551</v>
      </c>
      <c r="I358" s="128">
        <v>81390.920498545922</v>
      </c>
      <c r="J358" s="128">
        <v>14422.528007700001</v>
      </c>
    </row>
    <row r="359" spans="7:10">
      <c r="G359" s="1" t="b">
        <v>1</v>
      </c>
      <c r="H359" s="167" t="s">
        <v>1729</v>
      </c>
      <c r="I359" s="128">
        <v>2874.0797793861489</v>
      </c>
      <c r="J359" s="128">
        <v>23.328497780300001</v>
      </c>
    </row>
    <row r="360" spans="7:10">
      <c r="I360" s="128">
        <v>0</v>
      </c>
      <c r="J360" s="128">
        <v>0</v>
      </c>
    </row>
  </sheetData>
  <autoFilter ref="B1:E1" xr:uid="{00000000-0009-0000-0000-000000000000}">
    <sortState xmlns:xlrd2="http://schemas.microsoft.com/office/spreadsheetml/2017/richdata2" ref="B2:E147">
      <sortCondition ref="B1:B147"/>
    </sortState>
  </autoFilter>
  <conditionalFormatting sqref="D165">
    <cfRule type="containsBlanks" dxfId="31" priority="34">
      <formula>LEN(TRIM(D165))=0</formula>
    </cfRule>
  </conditionalFormatting>
  <conditionalFormatting sqref="D166">
    <cfRule type="containsBlanks" dxfId="30" priority="33">
      <formula>LEN(TRIM(D166))=0</formula>
    </cfRule>
  </conditionalFormatting>
  <conditionalFormatting sqref="D162">
    <cfRule type="containsBlanks" dxfId="29" priority="32">
      <formula>LEN(TRIM(D162))=0</formula>
    </cfRule>
  </conditionalFormatting>
  <conditionalFormatting sqref="D174">
    <cfRule type="containsBlanks" dxfId="28" priority="31">
      <formula>LEN(TRIM(D174))=0</formula>
    </cfRule>
  </conditionalFormatting>
  <conditionalFormatting sqref="C10:C11">
    <cfRule type="containsBlanks" dxfId="27" priority="28">
      <formula>LEN(TRIM(C10))=0</formula>
    </cfRule>
  </conditionalFormatting>
  <conditionalFormatting sqref="D10:D11">
    <cfRule type="containsBlanks" dxfId="26" priority="27">
      <formula>LEN(TRIM(D10))=0</formula>
    </cfRule>
  </conditionalFormatting>
  <conditionalFormatting sqref="C13">
    <cfRule type="containsBlanks" dxfId="25" priority="26">
      <formula>LEN(TRIM(C13))=0</formula>
    </cfRule>
  </conditionalFormatting>
  <conditionalFormatting sqref="C15">
    <cfRule type="containsBlanks" dxfId="24" priority="25">
      <formula>LEN(TRIM(C15))=0</formula>
    </cfRule>
  </conditionalFormatting>
  <conditionalFormatting sqref="C18">
    <cfRule type="containsBlanks" dxfId="23" priority="24">
      <formula>LEN(TRIM(C18))=0</formula>
    </cfRule>
  </conditionalFormatting>
  <conditionalFormatting sqref="C19">
    <cfRule type="containsBlanks" dxfId="22" priority="23">
      <formula>LEN(TRIM(C19))=0</formula>
    </cfRule>
  </conditionalFormatting>
  <conditionalFormatting sqref="D19">
    <cfRule type="containsBlanks" dxfId="21" priority="22">
      <formula>LEN(TRIM(D19))=0</formula>
    </cfRule>
  </conditionalFormatting>
  <conditionalFormatting sqref="C26">
    <cfRule type="containsBlanks" dxfId="20" priority="21">
      <formula>LEN(TRIM(C26))=0</formula>
    </cfRule>
  </conditionalFormatting>
  <conditionalFormatting sqref="C31">
    <cfRule type="containsBlanks" dxfId="19" priority="20">
      <formula>LEN(TRIM(C31))=0</formula>
    </cfRule>
  </conditionalFormatting>
  <conditionalFormatting sqref="C39">
    <cfRule type="containsBlanks" dxfId="18" priority="19">
      <formula>LEN(TRIM(C39))=0</formula>
    </cfRule>
  </conditionalFormatting>
  <conditionalFormatting sqref="D39">
    <cfRule type="containsBlanks" dxfId="17" priority="18">
      <formula>LEN(TRIM(D39))=0</formula>
    </cfRule>
  </conditionalFormatting>
  <conditionalFormatting sqref="C40">
    <cfRule type="containsBlanks" dxfId="16" priority="17">
      <formula>LEN(TRIM(C40))=0</formula>
    </cfRule>
  </conditionalFormatting>
  <conditionalFormatting sqref="D40">
    <cfRule type="containsBlanks" dxfId="15" priority="16">
      <formula>LEN(TRIM(D40))=0</formula>
    </cfRule>
  </conditionalFormatting>
  <conditionalFormatting sqref="C44">
    <cfRule type="containsBlanks" dxfId="14" priority="15">
      <formula>LEN(TRIM(C44))=0</formula>
    </cfRule>
  </conditionalFormatting>
  <conditionalFormatting sqref="C107">
    <cfRule type="containsBlanks" dxfId="13" priority="14">
      <formula>LEN(TRIM(C107))=0</formula>
    </cfRule>
  </conditionalFormatting>
  <conditionalFormatting sqref="D107">
    <cfRule type="containsBlanks" dxfId="12" priority="13">
      <formula>LEN(TRIM(D107))=0</formula>
    </cfRule>
  </conditionalFormatting>
  <conditionalFormatting sqref="C109">
    <cfRule type="containsBlanks" dxfId="11" priority="12">
      <formula>LEN(TRIM(C109))=0</formula>
    </cfRule>
  </conditionalFormatting>
  <conditionalFormatting sqref="D109">
    <cfRule type="containsBlanks" dxfId="10" priority="11">
      <formula>LEN(TRIM(D109))=0</formula>
    </cfRule>
  </conditionalFormatting>
  <conditionalFormatting sqref="C110">
    <cfRule type="containsBlanks" dxfId="9" priority="10">
      <formula>LEN(TRIM(C110))=0</formula>
    </cfRule>
  </conditionalFormatting>
  <conditionalFormatting sqref="D110">
    <cfRule type="containsBlanks" dxfId="8" priority="9">
      <formula>LEN(TRIM(D110))=0</formula>
    </cfRule>
  </conditionalFormatting>
  <conditionalFormatting sqref="C122">
    <cfRule type="containsBlanks" dxfId="7" priority="8">
      <formula>LEN(TRIM(C122))=0</formula>
    </cfRule>
  </conditionalFormatting>
  <conditionalFormatting sqref="D122">
    <cfRule type="containsBlanks" dxfId="6" priority="7">
      <formula>LEN(TRIM(D122))=0</formula>
    </cfRule>
  </conditionalFormatting>
  <conditionalFormatting sqref="C132">
    <cfRule type="containsBlanks" dxfId="5" priority="6">
      <formula>LEN(TRIM(C132))=0</formula>
    </cfRule>
  </conditionalFormatting>
  <conditionalFormatting sqref="D132">
    <cfRule type="containsBlanks" dxfId="4" priority="5">
      <formula>LEN(TRIM(D132))=0</formula>
    </cfRule>
  </conditionalFormatting>
  <conditionalFormatting sqref="C167">
    <cfRule type="containsBlanks" dxfId="3" priority="4">
      <formula>LEN(TRIM(C167))=0</formula>
    </cfRule>
  </conditionalFormatting>
  <conditionalFormatting sqref="D167">
    <cfRule type="containsBlanks" dxfId="2" priority="3">
      <formula>LEN(TRIM(D167))=0</formula>
    </cfRule>
  </conditionalFormatting>
  <conditionalFormatting sqref="C171">
    <cfRule type="containsBlanks" dxfId="1" priority="2">
      <formula>LEN(TRIM(C171))=0</formula>
    </cfRule>
  </conditionalFormatting>
  <conditionalFormatting sqref="D171">
    <cfRule type="containsBlanks" dxfId="0" priority="1">
      <formula>LEN(TRIM(D171))=0</formula>
    </cfRule>
  </conditionalFormatting>
  <pageMargins left="0.7" right="0.7" top="0.75" bottom="0.75" header="0.3" footer="0.3"/>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FECB1-44FC-1A44-95D9-94D833464628}">
  <dimension ref="A1:BJ3"/>
  <sheetViews>
    <sheetView topLeftCell="X1" workbookViewId="0">
      <selection activeCell="AN2" sqref="AN2"/>
    </sheetView>
  </sheetViews>
  <sheetFormatPr defaultColWidth="11.5546875" defaultRowHeight="14.4"/>
  <sheetData>
    <row r="1" spans="1:62">
      <c r="A1" s="1"/>
      <c r="B1" s="1"/>
      <c r="C1" s="1"/>
      <c r="D1" s="1"/>
      <c r="E1" s="131" t="s">
        <v>1387</v>
      </c>
      <c r="F1" s="131" t="s">
        <v>1388</v>
      </c>
      <c r="G1" s="131" t="s">
        <v>1389</v>
      </c>
      <c r="H1" s="131" t="s">
        <v>1390</v>
      </c>
      <c r="I1" s="131" t="s">
        <v>1391</v>
      </c>
      <c r="J1" s="131" t="s">
        <v>1392</v>
      </c>
      <c r="K1" s="131" t="s">
        <v>1393</v>
      </c>
      <c r="L1" s="131" t="s">
        <v>1394</v>
      </c>
      <c r="M1" s="131" t="s">
        <v>1395</v>
      </c>
      <c r="N1" s="131" t="s">
        <v>1396</v>
      </c>
      <c r="O1" s="131" t="s">
        <v>1397</v>
      </c>
      <c r="P1" s="131" t="s">
        <v>1398</v>
      </c>
      <c r="Q1" s="131" t="s">
        <v>1399</v>
      </c>
      <c r="R1" s="131" t="s">
        <v>1400</v>
      </c>
      <c r="S1" s="131" t="s">
        <v>1401</v>
      </c>
      <c r="T1" s="131" t="s">
        <v>1402</v>
      </c>
      <c r="U1" s="131" t="s">
        <v>1403</v>
      </c>
      <c r="V1" s="131" t="s">
        <v>1404</v>
      </c>
      <c r="W1" s="131" t="s">
        <v>1405</v>
      </c>
      <c r="X1" s="131" t="s">
        <v>1406</v>
      </c>
      <c r="Y1" s="131" t="s">
        <v>1407</v>
      </c>
      <c r="Z1" s="131" t="s">
        <v>1408</v>
      </c>
      <c r="AA1" s="131" t="s">
        <v>1409</v>
      </c>
      <c r="AB1" s="131" t="s">
        <v>1410</v>
      </c>
      <c r="AC1" s="131" t="s">
        <v>1411</v>
      </c>
      <c r="AD1" s="131" t="s">
        <v>1412</v>
      </c>
      <c r="AE1" s="131" t="s">
        <v>1413</v>
      </c>
      <c r="AF1" s="131" t="s">
        <v>1414</v>
      </c>
      <c r="AG1" s="131" t="s">
        <v>1415</v>
      </c>
      <c r="AH1" s="131" t="s">
        <v>1416</v>
      </c>
      <c r="AI1" s="131" t="s">
        <v>1417</v>
      </c>
      <c r="AJ1" s="131" t="s">
        <v>1418</v>
      </c>
      <c r="AK1" s="131" t="s">
        <v>1419</v>
      </c>
      <c r="AL1" s="131" t="s">
        <v>1420</v>
      </c>
      <c r="AM1" s="131" t="s">
        <v>1421</v>
      </c>
      <c r="AN1" s="131" t="s">
        <v>1422</v>
      </c>
      <c r="AO1" s="131" t="s">
        <v>1423</v>
      </c>
      <c r="AP1" s="131" t="s">
        <v>1424</v>
      </c>
      <c r="AQ1" s="131" t="s">
        <v>1425</v>
      </c>
      <c r="AR1" s="131" t="s">
        <v>1426</v>
      </c>
      <c r="AS1" s="131" t="s">
        <v>1427</v>
      </c>
      <c r="AT1" s="131" t="s">
        <v>1428</v>
      </c>
      <c r="AU1" s="131" t="s">
        <v>1429</v>
      </c>
      <c r="AV1" s="131" t="s">
        <v>1430</v>
      </c>
      <c r="AW1" s="131" t="s">
        <v>1431</v>
      </c>
      <c r="AX1" s="131" t="s">
        <v>1432</v>
      </c>
      <c r="AY1" s="131" t="s">
        <v>1433</v>
      </c>
      <c r="AZ1" s="131" t="s">
        <v>1434</v>
      </c>
      <c r="BA1" s="131" t="s">
        <v>1435</v>
      </c>
      <c r="BB1" s="131" t="s">
        <v>1436</v>
      </c>
      <c r="BC1" s="131" t="s">
        <v>1437</v>
      </c>
      <c r="BD1" s="131" t="s">
        <v>1438</v>
      </c>
      <c r="BE1" s="131" t="s">
        <v>1439</v>
      </c>
      <c r="BF1" s="131" t="s">
        <v>1440</v>
      </c>
      <c r="BG1" s="131" t="s">
        <v>1441</v>
      </c>
      <c r="BH1" s="131" t="s">
        <v>1442</v>
      </c>
      <c r="BI1" s="131" t="s">
        <v>1443</v>
      </c>
      <c r="BJ1" s="131" t="s">
        <v>1444</v>
      </c>
    </row>
    <row r="2" spans="1:62">
      <c r="A2" s="132" t="s">
        <v>1445</v>
      </c>
      <c r="B2" s="133"/>
      <c r="C2" s="133">
        <v>384</v>
      </c>
      <c r="D2" s="133">
        <v>2015</v>
      </c>
      <c r="E2" s="129">
        <v>23108.472000000002</v>
      </c>
      <c r="F2" s="129">
        <v>1582.7550000000001</v>
      </c>
      <c r="G2" s="134">
        <f t="shared" ref="G2:G3" si="0">F2/E2</f>
        <v>6.8492412652814083E-2</v>
      </c>
      <c r="H2" s="129">
        <v>3764.6579999999999</v>
      </c>
      <c r="I2" s="129">
        <v>9867.8919999999998</v>
      </c>
      <c r="J2" s="129">
        <v>11440.057000000001</v>
      </c>
      <c r="K2" s="129">
        <v>12412.481</v>
      </c>
      <c r="L2" s="129">
        <v>14538.496999999999</v>
      </c>
      <c r="M2" s="129">
        <v>1430.9670000000001</v>
      </c>
      <c r="N2" s="129">
        <v>2114.52</v>
      </c>
      <c r="O2" s="129">
        <v>2778.873</v>
      </c>
      <c r="P2" s="129">
        <v>1387.8320000000001</v>
      </c>
      <c r="Q2" s="129">
        <v>2052.1849999999999</v>
      </c>
      <c r="R2" s="129">
        <v>3838.306</v>
      </c>
      <c r="S2" s="129">
        <v>4423.7449999999999</v>
      </c>
      <c r="T2" s="129">
        <v>6103.2340000000004</v>
      </c>
      <c r="U2" s="129">
        <v>2555.1410000000001</v>
      </c>
      <c r="V2" s="129">
        <v>3154.7530000000002</v>
      </c>
      <c r="W2" s="129">
        <v>3740.192</v>
      </c>
      <c r="X2" s="129">
        <v>4312.3130000000001</v>
      </c>
      <c r="Y2" s="129">
        <v>2490.4</v>
      </c>
      <c r="Z2" s="129">
        <v>3647.96</v>
      </c>
      <c r="AA2" s="129">
        <v>3325.5509999999999</v>
      </c>
      <c r="AB2" s="129">
        <v>3837.0929999999998</v>
      </c>
      <c r="AC2" s="129">
        <v>4332.3990000000003</v>
      </c>
      <c r="AD2" s="129">
        <v>1679.489</v>
      </c>
      <c r="AE2" s="129">
        <v>2740.1120000000001</v>
      </c>
      <c r="AF2" s="129">
        <v>3251.654</v>
      </c>
      <c r="AG2" s="129">
        <v>3746.96</v>
      </c>
      <c r="AH2" s="129">
        <v>2679.5329999999999</v>
      </c>
      <c r="AI2" s="129">
        <v>3174.8389999999999</v>
      </c>
      <c r="AJ2" s="129">
        <v>3651.9569999999999</v>
      </c>
      <c r="AK2" s="129">
        <v>13240.58</v>
      </c>
      <c r="AL2" s="129">
        <v>1572.165</v>
      </c>
      <c r="AM2" s="129">
        <v>4670.6049999999996</v>
      </c>
      <c r="AN2" s="129">
        <v>10913.618</v>
      </c>
      <c r="AO2" s="129">
        <v>12145.155000000001</v>
      </c>
      <c r="AP2" s="129">
        <v>12573.877</v>
      </c>
      <c r="AQ2" s="129">
        <v>12704.652</v>
      </c>
      <c r="AR2" s="129">
        <v>12179.957</v>
      </c>
      <c r="AS2" s="129">
        <v>11668.415000000001</v>
      </c>
      <c r="AT2" s="129">
        <v>2705.9839999999999</v>
      </c>
      <c r="AU2" s="129">
        <v>10695.991</v>
      </c>
      <c r="AV2" s="129">
        <v>10029.288</v>
      </c>
      <c r="AW2" s="129">
        <v>10330.444</v>
      </c>
      <c r="AX2" s="129">
        <v>10236.624</v>
      </c>
      <c r="AY2" s="129">
        <v>8569.9750000000004</v>
      </c>
      <c r="AZ2" s="129">
        <v>6243.0129999999999</v>
      </c>
      <c r="BA2" s="129">
        <v>7903.2719999999999</v>
      </c>
      <c r="BB2" s="129">
        <v>8204.4279999999999</v>
      </c>
      <c r="BC2" s="129">
        <v>2326.962</v>
      </c>
      <c r="BD2" s="129">
        <v>1095.425</v>
      </c>
      <c r="BE2" s="129">
        <v>666.70299999999997</v>
      </c>
      <c r="BF2" s="129">
        <v>365.54700000000003</v>
      </c>
      <c r="BG2" s="129">
        <v>165.911</v>
      </c>
      <c r="BH2" s="129">
        <v>57.923999999999999</v>
      </c>
      <c r="BI2" s="129">
        <v>14.128</v>
      </c>
      <c r="BJ2" s="129">
        <v>2.1880000000000002</v>
      </c>
    </row>
    <row r="3" spans="1:62">
      <c r="A3" s="132" t="s">
        <v>1445</v>
      </c>
      <c r="B3" s="133"/>
      <c r="C3" s="133">
        <v>384</v>
      </c>
      <c r="D3" s="133">
        <v>2020</v>
      </c>
      <c r="E3" s="129">
        <v>26171.75</v>
      </c>
      <c r="F3" s="129">
        <v>1737.7</v>
      </c>
      <c r="G3" s="134">
        <f t="shared" si="0"/>
        <v>6.6396018607850063E-2</v>
      </c>
      <c r="H3" s="129">
        <v>4185.8630000000003</v>
      </c>
      <c r="I3" s="129">
        <v>10988.441000000001</v>
      </c>
      <c r="J3" s="129">
        <v>12711.522000000001</v>
      </c>
      <c r="K3" s="129">
        <v>13797.074000000001</v>
      </c>
      <c r="L3" s="129">
        <v>16276.031999999999</v>
      </c>
      <c r="M3" s="129">
        <v>1610.5540000000001</v>
      </c>
      <c r="N3" s="129">
        <v>2383.1080000000002</v>
      </c>
      <c r="O3" s="129">
        <v>3133.8539999999998</v>
      </c>
      <c r="P3" s="129">
        <v>1566.962</v>
      </c>
      <c r="Q3" s="129">
        <v>2317.7080000000001</v>
      </c>
      <c r="R3" s="129">
        <v>4314.357</v>
      </c>
      <c r="S3" s="129">
        <v>4960.8890000000001</v>
      </c>
      <c r="T3" s="129">
        <v>6802.5780000000004</v>
      </c>
      <c r="U3" s="129">
        <v>2874.9940000000001</v>
      </c>
      <c r="V3" s="129">
        <v>3541.8029999999999</v>
      </c>
      <c r="W3" s="129">
        <v>4188.335</v>
      </c>
      <c r="X3" s="129">
        <v>4816.7020000000002</v>
      </c>
      <c r="Y3" s="129">
        <v>2791.0569999999998</v>
      </c>
      <c r="Z3" s="129">
        <v>4065.9560000000001</v>
      </c>
      <c r="AA3" s="129">
        <v>3649.5749999999998</v>
      </c>
      <c r="AB3" s="129">
        <v>4211.3019999999997</v>
      </c>
      <c r="AC3" s="129">
        <v>4760.442</v>
      </c>
      <c r="AD3" s="129">
        <v>1841.6890000000001</v>
      </c>
      <c r="AE3" s="129">
        <v>3003.0430000000001</v>
      </c>
      <c r="AF3" s="129">
        <v>3564.77</v>
      </c>
      <c r="AG3" s="129">
        <v>4113.91</v>
      </c>
      <c r="AH3" s="129">
        <v>2936.4029999999998</v>
      </c>
      <c r="AI3" s="129">
        <v>3485.5430000000001</v>
      </c>
      <c r="AJ3" s="129">
        <v>4021.9549999999999</v>
      </c>
      <c r="AK3" s="129">
        <v>15183.308999999999</v>
      </c>
      <c r="AL3" s="129">
        <v>1723.0809999999999</v>
      </c>
      <c r="AM3" s="129">
        <v>5287.5910000000003</v>
      </c>
      <c r="AN3" s="129">
        <v>12545.135</v>
      </c>
      <c r="AO3" s="129">
        <v>13920.748</v>
      </c>
      <c r="AP3" s="129">
        <v>14406.444</v>
      </c>
      <c r="AQ3" s="129">
        <v>14596.235000000001</v>
      </c>
      <c r="AR3" s="129">
        <v>14021.955</v>
      </c>
      <c r="AS3" s="129">
        <v>13460.227999999999</v>
      </c>
      <c r="AT3" s="129">
        <v>3101.0909999999999</v>
      </c>
      <c r="AU3" s="129">
        <v>12374.675999999999</v>
      </c>
      <c r="AV3" s="129">
        <v>11597.811</v>
      </c>
      <c r="AW3" s="129">
        <v>11951.944</v>
      </c>
      <c r="AX3" s="129">
        <v>11850.743</v>
      </c>
      <c r="AY3" s="129">
        <v>9895.7180000000008</v>
      </c>
      <c r="AZ3" s="129">
        <v>7257.5439999999999</v>
      </c>
      <c r="BA3" s="129">
        <v>9118.8529999999992</v>
      </c>
      <c r="BB3" s="129">
        <v>9472.9860000000008</v>
      </c>
      <c r="BC3" s="129">
        <v>2638.174</v>
      </c>
      <c r="BD3" s="129">
        <v>1262.5609999999999</v>
      </c>
      <c r="BE3" s="129">
        <v>776.86500000000001</v>
      </c>
      <c r="BF3" s="129">
        <v>422.73200000000003</v>
      </c>
      <c r="BG3" s="129">
        <v>197.886</v>
      </c>
      <c r="BH3" s="129">
        <v>71.147000000000006</v>
      </c>
      <c r="BI3" s="129">
        <v>17.652000000000001</v>
      </c>
      <c r="BJ3" s="129">
        <v>2.6930000000000001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D3E9-79F3-DF46-9650-1224B7A8932E}">
  <dimension ref="A1:BM56"/>
  <sheetViews>
    <sheetView topLeftCell="AB1" zoomScale="140" workbookViewId="0">
      <selection activeCell="AO8" sqref="AO8"/>
    </sheetView>
  </sheetViews>
  <sheetFormatPr defaultColWidth="11.5546875" defaultRowHeight="14.4"/>
  <sheetData>
    <row r="1" spans="1:65" ht="15" thickBot="1">
      <c r="A1" s="222" t="s">
        <v>1156</v>
      </c>
      <c r="B1" s="222"/>
      <c r="C1" s="222"/>
      <c r="D1" s="222"/>
      <c r="E1" s="222"/>
      <c r="F1" s="22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row>
    <row r="2" spans="1:65">
      <c r="A2" s="43"/>
      <c r="B2" s="44"/>
      <c r="C2" s="44"/>
      <c r="D2" s="44"/>
      <c r="E2" s="223" t="s">
        <v>1157</v>
      </c>
      <c r="F2" s="45" t="s">
        <v>1158</v>
      </c>
      <c r="G2" s="46"/>
      <c r="H2" s="46"/>
      <c r="I2" s="46"/>
      <c r="J2" s="46"/>
      <c r="K2" s="46"/>
      <c r="L2" s="46"/>
      <c r="M2" s="46"/>
      <c r="N2" s="46"/>
      <c r="O2" s="46"/>
      <c r="P2" s="46"/>
      <c r="Q2" s="46"/>
      <c r="R2" s="46"/>
      <c r="S2" s="45" t="s">
        <v>1159</v>
      </c>
      <c r="T2" s="46"/>
      <c r="U2" s="46"/>
      <c r="V2" s="45" t="s">
        <v>1160</v>
      </c>
      <c r="W2" s="46"/>
      <c r="X2" s="46"/>
      <c r="Y2" s="45" t="s">
        <v>1161</v>
      </c>
      <c r="Z2" s="46"/>
      <c r="AA2" s="46"/>
      <c r="AB2" s="46"/>
      <c r="AC2" s="46"/>
      <c r="AD2" s="45" t="s">
        <v>1162</v>
      </c>
      <c r="AE2" s="46"/>
      <c r="AF2" s="46"/>
      <c r="AG2" s="46"/>
      <c r="AH2" s="46"/>
      <c r="AI2" s="46"/>
      <c r="AJ2" s="46"/>
      <c r="AK2" s="46"/>
      <c r="AL2" s="45" t="s">
        <v>1163</v>
      </c>
      <c r="AM2" s="46"/>
      <c r="AN2" s="46"/>
      <c r="AO2" s="46"/>
      <c r="AP2" s="46"/>
      <c r="AQ2" s="46"/>
      <c r="AR2" s="46"/>
      <c r="AS2" s="46"/>
      <c r="AT2" s="46"/>
      <c r="AU2" s="46"/>
      <c r="AV2" s="46"/>
      <c r="AW2" s="46"/>
      <c r="AX2" s="46"/>
      <c r="AY2" s="46"/>
      <c r="AZ2" s="46"/>
      <c r="BA2" s="46"/>
      <c r="BB2" s="46"/>
      <c r="BC2" s="46"/>
      <c r="BD2" s="46"/>
      <c r="BE2" s="46"/>
      <c r="BF2" s="46"/>
      <c r="BG2" s="45" t="s">
        <v>1164</v>
      </c>
      <c r="BH2" s="46"/>
      <c r="BI2" s="46"/>
      <c r="BJ2" s="46"/>
      <c r="BK2" s="46"/>
      <c r="BL2" s="47"/>
      <c r="BM2" s="48" t="s">
        <v>1165</v>
      </c>
    </row>
    <row r="3" spans="1:65">
      <c r="A3" s="49"/>
      <c r="B3" s="50"/>
      <c r="C3" s="50"/>
      <c r="D3" s="50"/>
      <c r="E3" s="224"/>
      <c r="F3" s="51"/>
      <c r="G3" s="52" t="s">
        <v>1166</v>
      </c>
      <c r="H3" s="52"/>
      <c r="I3" s="52"/>
      <c r="J3" s="52"/>
      <c r="K3" s="52" t="s">
        <v>1167</v>
      </c>
      <c r="L3" s="52"/>
      <c r="M3" s="52" t="s">
        <v>1168</v>
      </c>
      <c r="N3" s="52"/>
      <c r="O3" s="52"/>
      <c r="P3" s="52"/>
      <c r="Q3" s="52"/>
      <c r="R3" s="52" t="s">
        <v>1169</v>
      </c>
      <c r="S3" s="51"/>
      <c r="T3" s="52" t="s">
        <v>1170</v>
      </c>
      <c r="U3" s="52" t="s">
        <v>1171</v>
      </c>
      <c r="V3" s="51"/>
      <c r="W3" s="52" t="s">
        <v>1172</v>
      </c>
      <c r="X3" s="52" t="s">
        <v>1173</v>
      </c>
      <c r="Y3" s="51"/>
      <c r="Z3" s="52" t="s">
        <v>1174</v>
      </c>
      <c r="AA3" s="52" t="s">
        <v>1175</v>
      </c>
      <c r="AB3" s="52"/>
      <c r="AC3" s="52"/>
      <c r="AD3" s="51"/>
      <c r="AE3" s="52" t="s">
        <v>1176</v>
      </c>
      <c r="AF3" s="52"/>
      <c r="AG3" s="52"/>
      <c r="AH3" s="52"/>
      <c r="AI3" s="52" t="s">
        <v>1177</v>
      </c>
      <c r="AJ3" s="52"/>
      <c r="AK3" s="52" t="s">
        <v>1178</v>
      </c>
      <c r="AL3" s="51"/>
      <c r="AM3" s="52" t="s">
        <v>1179</v>
      </c>
      <c r="AN3" s="52"/>
      <c r="AO3" s="52"/>
      <c r="AP3" s="52"/>
      <c r="AQ3" s="52"/>
      <c r="AR3" s="52"/>
      <c r="AS3" s="52"/>
      <c r="AT3" s="52" t="s">
        <v>1180</v>
      </c>
      <c r="AU3" s="52"/>
      <c r="AV3" s="52"/>
      <c r="AW3" s="52" t="s">
        <v>1181</v>
      </c>
      <c r="AX3" s="52" t="s">
        <v>1182</v>
      </c>
      <c r="AY3" s="52" t="s">
        <v>1183</v>
      </c>
      <c r="AZ3" s="52"/>
      <c r="BA3" s="52"/>
      <c r="BB3" s="52"/>
      <c r="BC3" s="52"/>
      <c r="BD3" s="52"/>
      <c r="BE3" s="52" t="s">
        <v>1184</v>
      </c>
      <c r="BF3" s="52" t="s">
        <v>1185</v>
      </c>
      <c r="BG3" s="51"/>
      <c r="BH3" s="52" t="s">
        <v>1186</v>
      </c>
      <c r="BI3" s="52"/>
      <c r="BJ3" s="52"/>
      <c r="BK3" s="52" t="s">
        <v>1187</v>
      </c>
      <c r="BL3" s="53" t="s">
        <v>1188</v>
      </c>
      <c r="BM3" s="54"/>
    </row>
    <row r="4" spans="1:65">
      <c r="A4" s="49"/>
      <c r="B4" s="50"/>
      <c r="C4" s="50"/>
      <c r="D4" s="50"/>
      <c r="E4" s="224"/>
      <c r="F4" s="51"/>
      <c r="G4" s="52"/>
      <c r="H4" s="52" t="s">
        <v>1189</v>
      </c>
      <c r="I4" s="52" t="s">
        <v>1190</v>
      </c>
      <c r="J4" s="52" t="s">
        <v>1191</v>
      </c>
      <c r="K4" s="52"/>
      <c r="L4" s="52" t="s">
        <v>1192</v>
      </c>
      <c r="M4" s="52"/>
      <c r="N4" s="52" t="s">
        <v>1193</v>
      </c>
      <c r="O4" s="52" t="s">
        <v>1194</v>
      </c>
      <c r="P4" s="52" t="s">
        <v>1195</v>
      </c>
      <c r="Q4" s="52" t="s">
        <v>1196</v>
      </c>
      <c r="R4" s="52"/>
      <c r="S4" s="51"/>
      <c r="T4" s="52"/>
      <c r="U4" s="52"/>
      <c r="V4" s="51"/>
      <c r="W4" s="52"/>
      <c r="X4" s="52"/>
      <c r="Y4" s="51"/>
      <c r="Z4" s="52"/>
      <c r="AA4" s="52"/>
      <c r="AB4" s="52" t="s">
        <v>1197</v>
      </c>
      <c r="AC4" s="52" t="s">
        <v>1198</v>
      </c>
      <c r="AD4" s="51"/>
      <c r="AE4" s="52"/>
      <c r="AF4" s="52" t="s">
        <v>1199</v>
      </c>
      <c r="AG4" s="52" t="s">
        <v>1200</v>
      </c>
      <c r="AH4" s="52" t="s">
        <v>1201</v>
      </c>
      <c r="AI4" s="52"/>
      <c r="AJ4" s="52" t="s">
        <v>1202</v>
      </c>
      <c r="AK4" s="52"/>
      <c r="AL4" s="51"/>
      <c r="AM4" s="52"/>
      <c r="AN4" s="52" t="s">
        <v>1203</v>
      </c>
      <c r="AO4" s="52"/>
      <c r="AP4" s="52"/>
      <c r="AQ4" s="52" t="s">
        <v>1204</v>
      </c>
      <c r="AR4" s="52" t="s">
        <v>1205</v>
      </c>
      <c r="AS4" s="52" t="s">
        <v>1206</v>
      </c>
      <c r="AT4" s="52"/>
      <c r="AU4" s="52" t="s">
        <v>1207</v>
      </c>
      <c r="AV4" s="52" t="s">
        <v>1208</v>
      </c>
      <c r="AW4" s="52"/>
      <c r="AX4" s="52"/>
      <c r="AY4" s="52"/>
      <c r="AZ4" s="52" t="s">
        <v>1209</v>
      </c>
      <c r="BA4" s="52" t="s">
        <v>1210</v>
      </c>
      <c r="BB4" s="52" t="s">
        <v>1211</v>
      </c>
      <c r="BC4" s="52" t="s">
        <v>1212</v>
      </c>
      <c r="BD4" s="52" t="s">
        <v>1213</v>
      </c>
      <c r="BE4" s="52"/>
      <c r="BF4" s="52"/>
      <c r="BG4" s="51"/>
      <c r="BH4" s="52"/>
      <c r="BI4" s="52" t="s">
        <v>1214</v>
      </c>
      <c r="BJ4" s="52" t="s">
        <v>1215</v>
      </c>
      <c r="BK4" s="52"/>
      <c r="BL4" s="53"/>
      <c r="BM4" s="54"/>
    </row>
    <row r="5" spans="1:65">
      <c r="A5" s="49"/>
      <c r="B5" s="50"/>
      <c r="C5" s="50"/>
      <c r="D5" s="50"/>
      <c r="E5" s="224"/>
      <c r="F5" s="51"/>
      <c r="G5" s="52"/>
      <c r="H5" s="52"/>
      <c r="I5" s="52"/>
      <c r="J5" s="52"/>
      <c r="K5" s="52"/>
      <c r="L5" s="52"/>
      <c r="M5" s="52"/>
      <c r="N5" s="52"/>
      <c r="O5" s="52"/>
      <c r="P5" s="52"/>
      <c r="Q5" s="52"/>
      <c r="R5" s="52"/>
      <c r="S5" s="51"/>
      <c r="T5" s="52"/>
      <c r="U5" s="52"/>
      <c r="V5" s="51"/>
      <c r="W5" s="52"/>
      <c r="X5" s="52"/>
      <c r="Y5" s="51"/>
      <c r="Z5" s="52"/>
      <c r="AA5" s="52"/>
      <c r="AB5" s="52"/>
      <c r="AC5" s="52"/>
      <c r="AD5" s="51"/>
      <c r="AE5" s="52"/>
      <c r="AF5" s="52"/>
      <c r="AG5" s="52"/>
      <c r="AH5" s="52"/>
      <c r="AI5" s="52"/>
      <c r="AJ5" s="52"/>
      <c r="AK5" s="52"/>
      <c r="AL5" s="51"/>
      <c r="AM5" s="52"/>
      <c r="AN5" s="52"/>
      <c r="AO5" s="52" t="s">
        <v>1216</v>
      </c>
      <c r="AP5" s="52" t="s">
        <v>1217</v>
      </c>
      <c r="AQ5" s="52"/>
      <c r="AR5" s="52"/>
      <c r="AS5" s="52"/>
      <c r="AT5" s="52"/>
      <c r="AU5" s="52"/>
      <c r="AV5" s="52"/>
      <c r="AW5" s="52"/>
      <c r="AX5" s="52"/>
      <c r="AY5" s="52"/>
      <c r="AZ5" s="52"/>
      <c r="BA5" s="52"/>
      <c r="BB5" s="52"/>
      <c r="BC5" s="52"/>
      <c r="BD5" s="52"/>
      <c r="BE5" s="52"/>
      <c r="BF5" s="52"/>
      <c r="BG5" s="51"/>
      <c r="BH5" s="52"/>
      <c r="BI5" s="52"/>
      <c r="BJ5" s="52"/>
      <c r="BK5" s="52"/>
      <c r="BL5" s="53"/>
      <c r="BM5" s="54"/>
    </row>
    <row r="6" spans="1:65" ht="72.599999999999994">
      <c r="A6" s="225" t="s">
        <v>1218</v>
      </c>
      <c r="B6" s="226"/>
      <c r="C6" s="226"/>
      <c r="D6" s="226"/>
      <c r="E6" s="55"/>
      <c r="F6" s="56" t="s">
        <v>1219</v>
      </c>
      <c r="G6" s="57" t="s">
        <v>1220</v>
      </c>
      <c r="H6" s="57" t="s">
        <v>1221</v>
      </c>
      <c r="I6" s="57" t="s">
        <v>1222</v>
      </c>
      <c r="J6" s="57" t="s">
        <v>1223</v>
      </c>
      <c r="K6" s="57" t="s">
        <v>1224</v>
      </c>
      <c r="L6" s="57" t="s">
        <v>1225</v>
      </c>
      <c r="M6" s="57" t="s">
        <v>1226</v>
      </c>
      <c r="N6" s="57" t="s">
        <v>1227</v>
      </c>
      <c r="O6" s="57" t="s">
        <v>1228</v>
      </c>
      <c r="P6" s="57" t="s">
        <v>1229</v>
      </c>
      <c r="Q6" s="57" t="s">
        <v>1230</v>
      </c>
      <c r="R6" s="57" t="s">
        <v>1231</v>
      </c>
      <c r="S6" s="56" t="s">
        <v>1232</v>
      </c>
      <c r="T6" s="57" t="s">
        <v>1233</v>
      </c>
      <c r="U6" s="57" t="s">
        <v>1234</v>
      </c>
      <c r="V6" s="56" t="s">
        <v>1235</v>
      </c>
      <c r="W6" s="57" t="s">
        <v>1236</v>
      </c>
      <c r="X6" s="57" t="s">
        <v>1237</v>
      </c>
      <c r="Y6" s="56" t="s">
        <v>1238</v>
      </c>
      <c r="Z6" s="57" t="s">
        <v>1239</v>
      </c>
      <c r="AA6" s="57" t="s">
        <v>1240</v>
      </c>
      <c r="AB6" s="57" t="s">
        <v>1241</v>
      </c>
      <c r="AC6" s="57" t="s">
        <v>1242</v>
      </c>
      <c r="AD6" s="56" t="s">
        <v>1243</v>
      </c>
      <c r="AE6" s="57" t="s">
        <v>1244</v>
      </c>
      <c r="AF6" s="57" t="s">
        <v>1245</v>
      </c>
      <c r="AG6" s="57" t="s">
        <v>1246</v>
      </c>
      <c r="AH6" s="57" t="s">
        <v>1247</v>
      </c>
      <c r="AI6" s="57" t="s">
        <v>1248</v>
      </c>
      <c r="AJ6" s="57" t="s">
        <v>1249</v>
      </c>
      <c r="AK6" s="57" t="s">
        <v>1250</v>
      </c>
      <c r="AL6" s="56" t="s">
        <v>1251</v>
      </c>
      <c r="AM6" s="57" t="s">
        <v>1252</v>
      </c>
      <c r="AN6" s="57" t="s">
        <v>1253</v>
      </c>
      <c r="AO6" s="57" t="s">
        <v>1254</v>
      </c>
      <c r="AP6" s="57" t="s">
        <v>1255</v>
      </c>
      <c r="AQ6" s="57" t="s">
        <v>1256</v>
      </c>
      <c r="AR6" s="57" t="s">
        <v>1257</v>
      </c>
      <c r="AS6" s="57" t="s">
        <v>1258</v>
      </c>
      <c r="AT6" s="57" t="s">
        <v>1259</v>
      </c>
      <c r="AU6" s="57" t="s">
        <v>1260</v>
      </c>
      <c r="AV6" s="57" t="s">
        <v>1261</v>
      </c>
      <c r="AW6" s="57" t="s">
        <v>1262</v>
      </c>
      <c r="AX6" s="57" t="s">
        <v>1263</v>
      </c>
      <c r="AY6" s="57" t="s">
        <v>1264</v>
      </c>
      <c r="AZ6" s="57" t="s">
        <v>1265</v>
      </c>
      <c r="BA6" s="57" t="s">
        <v>1266</v>
      </c>
      <c r="BB6" s="57" t="s">
        <v>1267</v>
      </c>
      <c r="BC6" s="57" t="s">
        <v>1268</v>
      </c>
      <c r="BD6" s="57" t="s">
        <v>1269</v>
      </c>
      <c r="BE6" s="57" t="s">
        <v>1270</v>
      </c>
      <c r="BF6" s="57" t="s">
        <v>1271</v>
      </c>
      <c r="BG6" s="56" t="s">
        <v>1272</v>
      </c>
      <c r="BH6" s="57" t="s">
        <v>1273</v>
      </c>
      <c r="BI6" s="57" t="s">
        <v>1266</v>
      </c>
      <c r="BJ6" s="57" t="s">
        <v>1274</v>
      </c>
      <c r="BK6" s="57" t="s">
        <v>1275</v>
      </c>
      <c r="BL6" s="58" t="s">
        <v>1276</v>
      </c>
      <c r="BM6" s="54"/>
    </row>
    <row r="7" spans="1:65">
      <c r="A7" s="59" t="s">
        <v>1277</v>
      </c>
      <c r="B7" s="60"/>
      <c r="C7" s="60"/>
      <c r="D7" s="60"/>
      <c r="E7" s="61" t="s">
        <v>1278</v>
      </c>
      <c r="F7" s="33">
        <v>123882078504.42999</v>
      </c>
      <c r="G7" s="62">
        <v>23435814435.189999</v>
      </c>
      <c r="H7" s="62">
        <v>21877220441.150002</v>
      </c>
      <c r="I7" s="62">
        <v>1558593994.04</v>
      </c>
      <c r="J7" s="63"/>
      <c r="K7" s="62">
        <v>1538536.25</v>
      </c>
      <c r="L7" s="62">
        <v>1538536.25</v>
      </c>
      <c r="M7" s="62">
        <v>100119815635.44</v>
      </c>
      <c r="N7" s="62">
        <v>97584907756.610001</v>
      </c>
      <c r="O7" s="63"/>
      <c r="P7" s="62">
        <v>2532334631.6999998</v>
      </c>
      <c r="Q7" s="62">
        <v>2573247.14</v>
      </c>
      <c r="R7" s="62">
        <v>324909897.54000002</v>
      </c>
      <c r="S7" s="64"/>
      <c r="T7" s="63"/>
      <c r="U7" s="63"/>
      <c r="V7" s="64"/>
      <c r="W7" s="63"/>
      <c r="X7" s="63"/>
      <c r="Y7" s="33">
        <v>1708427556.54</v>
      </c>
      <c r="Z7" s="62">
        <v>1708427556.54</v>
      </c>
      <c r="AA7" s="63"/>
      <c r="AB7" s="63"/>
      <c r="AC7" s="63"/>
      <c r="AD7" s="33">
        <v>59679427303.5</v>
      </c>
      <c r="AE7" s="62">
        <v>59679427303.5</v>
      </c>
      <c r="AF7" s="62">
        <v>59368589670.809998</v>
      </c>
      <c r="AG7" s="62">
        <v>21795369.98</v>
      </c>
      <c r="AH7" s="62">
        <v>289042262.70999998</v>
      </c>
      <c r="AI7" s="63"/>
      <c r="AJ7" s="63"/>
      <c r="AK7" s="63"/>
      <c r="AL7" s="33">
        <v>155118391998.85001</v>
      </c>
      <c r="AM7" s="62">
        <v>6117426081.6000004</v>
      </c>
      <c r="AN7" s="62">
        <v>82000</v>
      </c>
      <c r="AO7" s="63"/>
      <c r="AP7" s="62">
        <v>82000</v>
      </c>
      <c r="AQ7" s="63"/>
      <c r="AR7" s="63"/>
      <c r="AS7" s="62">
        <v>6117344081.6000004</v>
      </c>
      <c r="AT7" s="62">
        <v>25981879499.549999</v>
      </c>
      <c r="AU7" s="62">
        <v>22384834116.169998</v>
      </c>
      <c r="AV7" s="62">
        <v>3597045383.3899999</v>
      </c>
      <c r="AW7" s="62">
        <v>2575758186.8499999</v>
      </c>
      <c r="AX7" s="62">
        <v>8306534.3600000003</v>
      </c>
      <c r="AY7" s="62">
        <v>120435021696.49001</v>
      </c>
      <c r="AZ7" s="62">
        <v>11701689821.41</v>
      </c>
      <c r="BA7" s="62">
        <v>620937550.28999996</v>
      </c>
      <c r="BB7" s="62">
        <v>931215243.94000006</v>
      </c>
      <c r="BC7" s="62">
        <v>44059929.590000004</v>
      </c>
      <c r="BD7" s="62">
        <v>107137119151.25999</v>
      </c>
      <c r="BE7" s="63"/>
      <c r="BF7" s="63"/>
      <c r="BG7" s="33">
        <v>957672658.49000001</v>
      </c>
      <c r="BH7" s="62">
        <v>957672658.49000001</v>
      </c>
      <c r="BI7" s="62">
        <v>48826268.090000004</v>
      </c>
      <c r="BJ7" s="62">
        <v>908846390.39999998</v>
      </c>
      <c r="BK7" s="63"/>
      <c r="BL7" s="65"/>
      <c r="BM7" s="40">
        <v>341345998021.79999</v>
      </c>
    </row>
    <row r="8" spans="1:65">
      <c r="A8" s="66"/>
      <c r="B8" s="67" t="s">
        <v>1279</v>
      </c>
      <c r="C8" s="67"/>
      <c r="D8" s="67"/>
      <c r="E8" s="68" t="s">
        <v>1280</v>
      </c>
      <c r="F8" s="36">
        <v>13481444168.49</v>
      </c>
      <c r="G8" s="34">
        <v>13561195.51</v>
      </c>
      <c r="H8" s="34">
        <v>13561195.51</v>
      </c>
      <c r="I8" s="69"/>
      <c r="J8" s="69"/>
      <c r="K8" s="69"/>
      <c r="L8" s="69"/>
      <c r="M8" s="34">
        <v>13467832563.540001</v>
      </c>
      <c r="N8" s="34">
        <v>13467832563.540001</v>
      </c>
      <c r="O8" s="69"/>
      <c r="P8" s="69"/>
      <c r="Q8" s="69"/>
      <c r="R8" s="34">
        <v>50409.440000000002</v>
      </c>
      <c r="S8" s="70"/>
      <c r="T8" s="69"/>
      <c r="U8" s="69"/>
      <c r="V8" s="70"/>
      <c r="W8" s="69"/>
      <c r="X8" s="69"/>
      <c r="Y8" s="36">
        <v>533891838.63</v>
      </c>
      <c r="Z8" s="34">
        <v>533891838.63</v>
      </c>
      <c r="AA8" s="69"/>
      <c r="AB8" s="69"/>
      <c r="AC8" s="69"/>
      <c r="AD8" s="36">
        <v>124542258.52</v>
      </c>
      <c r="AE8" s="34">
        <v>124542258.52</v>
      </c>
      <c r="AF8" s="34">
        <v>122399566.03</v>
      </c>
      <c r="AG8" s="34">
        <v>2142692.4900000002</v>
      </c>
      <c r="AH8" s="69"/>
      <c r="AI8" s="69"/>
      <c r="AJ8" s="69"/>
      <c r="AK8" s="69"/>
      <c r="AL8" s="36">
        <v>65078524821.699997</v>
      </c>
      <c r="AM8" s="34">
        <v>4321548669.6099997</v>
      </c>
      <c r="AN8" s="34">
        <v>82000</v>
      </c>
      <c r="AO8" s="69"/>
      <c r="AP8" s="34">
        <v>82000</v>
      </c>
      <c r="AQ8" s="69"/>
      <c r="AR8" s="69"/>
      <c r="AS8" s="34">
        <v>4321466669.6099997</v>
      </c>
      <c r="AT8" s="69"/>
      <c r="AU8" s="69"/>
      <c r="AV8" s="69"/>
      <c r="AW8" s="34">
        <v>2575758186.8499999</v>
      </c>
      <c r="AX8" s="69"/>
      <c r="AY8" s="34">
        <v>58181217965.239998</v>
      </c>
      <c r="AZ8" s="34">
        <v>10562284382.57</v>
      </c>
      <c r="BA8" s="34">
        <v>98492429.290000007</v>
      </c>
      <c r="BB8" s="69"/>
      <c r="BC8" s="34">
        <v>44059929.590000004</v>
      </c>
      <c r="BD8" s="34">
        <v>47476381223.790001</v>
      </c>
      <c r="BE8" s="69"/>
      <c r="BF8" s="69"/>
      <c r="BG8" s="36">
        <v>436000018.49000001</v>
      </c>
      <c r="BH8" s="34">
        <v>436000018.49000001</v>
      </c>
      <c r="BI8" s="34">
        <v>9825298.0899999999</v>
      </c>
      <c r="BJ8" s="34">
        <v>426174720.39999998</v>
      </c>
      <c r="BK8" s="69"/>
      <c r="BL8" s="71"/>
      <c r="BM8" s="72">
        <v>79654403105.830002</v>
      </c>
    </row>
    <row r="9" spans="1:65">
      <c r="A9" s="73"/>
      <c r="B9" s="74"/>
      <c r="C9" s="74" t="s">
        <v>1281</v>
      </c>
      <c r="D9" s="74"/>
      <c r="E9" s="75" t="s">
        <v>1282</v>
      </c>
      <c r="F9" s="35">
        <v>13481444168.49</v>
      </c>
      <c r="G9" s="76">
        <v>13561195.51</v>
      </c>
      <c r="H9" s="76">
        <v>13561195.51</v>
      </c>
      <c r="I9" s="77"/>
      <c r="J9" s="77"/>
      <c r="K9" s="77"/>
      <c r="L9" s="77"/>
      <c r="M9" s="76">
        <v>13467832563.540001</v>
      </c>
      <c r="N9" s="76">
        <v>13467832563.540001</v>
      </c>
      <c r="O9" s="77"/>
      <c r="P9" s="77"/>
      <c r="Q9" s="77"/>
      <c r="R9" s="76">
        <v>50409.440000000002</v>
      </c>
      <c r="S9" s="78"/>
      <c r="T9" s="77"/>
      <c r="U9" s="77"/>
      <c r="V9" s="78"/>
      <c r="W9" s="77"/>
      <c r="X9" s="77"/>
      <c r="Y9" s="35">
        <v>533891838.63</v>
      </c>
      <c r="Z9" s="76">
        <v>533891838.63</v>
      </c>
      <c r="AA9" s="77"/>
      <c r="AB9" s="77"/>
      <c r="AC9" s="77"/>
      <c r="AD9" s="35">
        <v>124542258.52</v>
      </c>
      <c r="AE9" s="76">
        <v>124542258.52</v>
      </c>
      <c r="AF9" s="76">
        <v>122399566.03</v>
      </c>
      <c r="AG9" s="76">
        <v>2142692.4900000002</v>
      </c>
      <c r="AH9" s="77"/>
      <c r="AI9" s="77"/>
      <c r="AJ9" s="77"/>
      <c r="AK9" s="77"/>
      <c r="AL9" s="35">
        <v>65078524821.699997</v>
      </c>
      <c r="AM9" s="76">
        <v>4321548669.6099997</v>
      </c>
      <c r="AN9" s="76">
        <v>82000</v>
      </c>
      <c r="AO9" s="77"/>
      <c r="AP9" s="76">
        <v>82000</v>
      </c>
      <c r="AQ9" s="77"/>
      <c r="AR9" s="77"/>
      <c r="AS9" s="76">
        <v>4321466669.6099997</v>
      </c>
      <c r="AT9" s="77"/>
      <c r="AU9" s="77"/>
      <c r="AV9" s="77"/>
      <c r="AW9" s="76">
        <v>2575758186.8499999</v>
      </c>
      <c r="AX9" s="77"/>
      <c r="AY9" s="76">
        <v>58181217965.239998</v>
      </c>
      <c r="AZ9" s="76">
        <v>10562284382.57</v>
      </c>
      <c r="BA9" s="76">
        <v>98492429.290000007</v>
      </c>
      <c r="BB9" s="77"/>
      <c r="BC9" s="76">
        <v>44059929.590000004</v>
      </c>
      <c r="BD9" s="76">
        <v>47476381223.790001</v>
      </c>
      <c r="BE9" s="77"/>
      <c r="BF9" s="77"/>
      <c r="BG9" s="35">
        <v>436000018.49000001</v>
      </c>
      <c r="BH9" s="76">
        <v>436000018.49000001</v>
      </c>
      <c r="BI9" s="76">
        <v>9825298.0899999999</v>
      </c>
      <c r="BJ9" s="76">
        <v>426174720.39999998</v>
      </c>
      <c r="BK9" s="77"/>
      <c r="BL9" s="79"/>
      <c r="BM9" s="38">
        <v>79654403105.830002</v>
      </c>
    </row>
    <row r="10" spans="1:65">
      <c r="A10" s="66"/>
      <c r="B10" s="67"/>
      <c r="C10" s="67"/>
      <c r="D10" s="67" t="s">
        <v>1283</v>
      </c>
      <c r="E10" s="68" t="s">
        <v>1284</v>
      </c>
      <c r="F10" s="36">
        <v>13150516840.02</v>
      </c>
      <c r="G10" s="34">
        <v>13561195.51</v>
      </c>
      <c r="H10" s="34">
        <v>13561195.51</v>
      </c>
      <c r="I10" s="69"/>
      <c r="J10" s="69"/>
      <c r="K10" s="69"/>
      <c r="L10" s="69"/>
      <c r="M10" s="34">
        <v>13136905235.059999</v>
      </c>
      <c r="N10" s="34">
        <v>13136905235.059999</v>
      </c>
      <c r="O10" s="69"/>
      <c r="P10" s="69"/>
      <c r="Q10" s="69"/>
      <c r="R10" s="34">
        <v>50409.440000000002</v>
      </c>
      <c r="S10" s="70"/>
      <c r="T10" s="69"/>
      <c r="U10" s="69"/>
      <c r="V10" s="70"/>
      <c r="W10" s="69"/>
      <c r="X10" s="69"/>
      <c r="Y10" s="36">
        <v>533891838.63</v>
      </c>
      <c r="Z10" s="34">
        <v>533891838.63</v>
      </c>
      <c r="AA10" s="69"/>
      <c r="AB10" s="69"/>
      <c r="AC10" s="69"/>
      <c r="AD10" s="36">
        <v>124542258.52</v>
      </c>
      <c r="AE10" s="34">
        <v>124542258.52</v>
      </c>
      <c r="AF10" s="34">
        <v>122399566.03</v>
      </c>
      <c r="AG10" s="34">
        <v>2142692.4900000002</v>
      </c>
      <c r="AH10" s="69"/>
      <c r="AI10" s="69"/>
      <c r="AJ10" s="69"/>
      <c r="AK10" s="69"/>
      <c r="AL10" s="36">
        <v>65078524821.699997</v>
      </c>
      <c r="AM10" s="34">
        <v>4321548669.6099997</v>
      </c>
      <c r="AN10" s="34">
        <v>82000</v>
      </c>
      <c r="AO10" s="69"/>
      <c r="AP10" s="34">
        <v>82000</v>
      </c>
      <c r="AQ10" s="69"/>
      <c r="AR10" s="69"/>
      <c r="AS10" s="34">
        <v>4321466669.6099997</v>
      </c>
      <c r="AT10" s="69"/>
      <c r="AU10" s="69"/>
      <c r="AV10" s="69"/>
      <c r="AW10" s="34">
        <v>2575758186.8499999</v>
      </c>
      <c r="AX10" s="69"/>
      <c r="AY10" s="34">
        <v>58181217965.239998</v>
      </c>
      <c r="AZ10" s="34">
        <v>10562284382.57</v>
      </c>
      <c r="BA10" s="34">
        <v>98492429.290000007</v>
      </c>
      <c r="BB10" s="69"/>
      <c r="BC10" s="34">
        <v>44059929.590000004</v>
      </c>
      <c r="BD10" s="34">
        <v>47476381223.790001</v>
      </c>
      <c r="BE10" s="69"/>
      <c r="BF10" s="69"/>
      <c r="BG10" s="36">
        <v>436000018.49000001</v>
      </c>
      <c r="BH10" s="34">
        <v>436000018.49000001</v>
      </c>
      <c r="BI10" s="34">
        <v>9825298.0899999999</v>
      </c>
      <c r="BJ10" s="34">
        <v>426174720.39999998</v>
      </c>
      <c r="BK10" s="69"/>
      <c r="BL10" s="71"/>
      <c r="BM10" s="37">
        <v>79323475777.350006</v>
      </c>
    </row>
    <row r="11" spans="1:65">
      <c r="A11" s="73"/>
      <c r="B11" s="74"/>
      <c r="C11" s="74"/>
      <c r="D11" s="74" t="s">
        <v>1285</v>
      </c>
      <c r="E11" s="75" t="s">
        <v>1286</v>
      </c>
      <c r="F11" s="35">
        <v>94513606.709999993</v>
      </c>
      <c r="G11" s="77"/>
      <c r="H11" s="77"/>
      <c r="I11" s="77"/>
      <c r="J11" s="77"/>
      <c r="K11" s="77"/>
      <c r="L11" s="77"/>
      <c r="M11" s="76">
        <v>94513606.709999993</v>
      </c>
      <c r="N11" s="76">
        <v>94513606.709999993</v>
      </c>
      <c r="O11" s="77"/>
      <c r="P11" s="77"/>
      <c r="Q11" s="77"/>
      <c r="R11" s="77"/>
      <c r="S11" s="78"/>
      <c r="T11" s="77"/>
      <c r="U11" s="77"/>
      <c r="V11" s="78"/>
      <c r="W11" s="77"/>
      <c r="X11" s="77"/>
      <c r="Y11" s="78"/>
      <c r="Z11" s="77"/>
      <c r="AA11" s="77"/>
      <c r="AB11" s="77"/>
      <c r="AC11" s="77"/>
      <c r="AD11" s="78"/>
      <c r="AE11" s="77"/>
      <c r="AF11" s="77"/>
      <c r="AG11" s="77"/>
      <c r="AH11" s="77"/>
      <c r="AI11" s="77"/>
      <c r="AJ11" s="77"/>
      <c r="AK11" s="77"/>
      <c r="AL11" s="78"/>
      <c r="AM11" s="77"/>
      <c r="AN11" s="77"/>
      <c r="AO11" s="77"/>
      <c r="AP11" s="77"/>
      <c r="AQ11" s="77"/>
      <c r="AR11" s="77"/>
      <c r="AS11" s="77"/>
      <c r="AT11" s="77"/>
      <c r="AU11" s="77"/>
      <c r="AV11" s="77"/>
      <c r="AW11" s="77"/>
      <c r="AX11" s="77"/>
      <c r="AY11" s="77"/>
      <c r="AZ11" s="77"/>
      <c r="BA11" s="77"/>
      <c r="BB11" s="77"/>
      <c r="BC11" s="77"/>
      <c r="BD11" s="77"/>
      <c r="BE11" s="77"/>
      <c r="BF11" s="77"/>
      <c r="BG11" s="78"/>
      <c r="BH11" s="77"/>
      <c r="BI11" s="77"/>
      <c r="BJ11" s="77"/>
      <c r="BK11" s="77"/>
      <c r="BL11" s="79"/>
      <c r="BM11" s="38">
        <v>94513606.709999993</v>
      </c>
    </row>
    <row r="12" spans="1:65">
      <c r="A12" s="66"/>
      <c r="B12" s="67"/>
      <c r="C12" s="67"/>
      <c r="D12" s="67" t="s">
        <v>1287</v>
      </c>
      <c r="E12" s="68" t="s">
        <v>1288</v>
      </c>
      <c r="F12" s="36">
        <v>236413721.77000001</v>
      </c>
      <c r="G12" s="69"/>
      <c r="H12" s="69"/>
      <c r="I12" s="69"/>
      <c r="J12" s="69"/>
      <c r="K12" s="69"/>
      <c r="L12" s="69"/>
      <c r="M12" s="34">
        <v>236413721.77000001</v>
      </c>
      <c r="N12" s="34">
        <v>236413721.77000001</v>
      </c>
      <c r="O12" s="69"/>
      <c r="P12" s="69"/>
      <c r="Q12" s="69"/>
      <c r="R12" s="69"/>
      <c r="S12" s="70"/>
      <c r="T12" s="69"/>
      <c r="U12" s="69"/>
      <c r="V12" s="70"/>
      <c r="W12" s="69"/>
      <c r="X12" s="69"/>
      <c r="Y12" s="70"/>
      <c r="Z12" s="69"/>
      <c r="AA12" s="69"/>
      <c r="AB12" s="69"/>
      <c r="AC12" s="69"/>
      <c r="AD12" s="70"/>
      <c r="AE12" s="69"/>
      <c r="AF12" s="69"/>
      <c r="AG12" s="69"/>
      <c r="AH12" s="69"/>
      <c r="AI12" s="69"/>
      <c r="AJ12" s="69"/>
      <c r="AK12" s="69"/>
      <c r="AL12" s="70"/>
      <c r="AM12" s="69"/>
      <c r="AN12" s="69"/>
      <c r="AO12" s="69"/>
      <c r="AP12" s="69"/>
      <c r="AQ12" s="69"/>
      <c r="AR12" s="69"/>
      <c r="AS12" s="69"/>
      <c r="AT12" s="69"/>
      <c r="AU12" s="69"/>
      <c r="AV12" s="69"/>
      <c r="AW12" s="69"/>
      <c r="AX12" s="69"/>
      <c r="AY12" s="69"/>
      <c r="AZ12" s="69"/>
      <c r="BA12" s="69"/>
      <c r="BB12" s="69"/>
      <c r="BC12" s="69"/>
      <c r="BD12" s="69"/>
      <c r="BE12" s="69"/>
      <c r="BF12" s="69"/>
      <c r="BG12" s="70"/>
      <c r="BH12" s="69"/>
      <c r="BI12" s="69"/>
      <c r="BJ12" s="69"/>
      <c r="BK12" s="69"/>
      <c r="BL12" s="71"/>
      <c r="BM12" s="37">
        <v>236413721.77000001</v>
      </c>
    </row>
    <row r="13" spans="1:65">
      <c r="A13" s="73"/>
      <c r="B13" s="74" t="s">
        <v>1289</v>
      </c>
      <c r="C13" s="74"/>
      <c r="D13" s="74"/>
      <c r="E13" s="75" t="s">
        <v>1290</v>
      </c>
      <c r="F13" s="35">
        <v>1569352039.3800001</v>
      </c>
      <c r="G13" s="76">
        <v>38283393.219999999</v>
      </c>
      <c r="H13" s="76">
        <v>38283393.219999999</v>
      </c>
      <c r="I13" s="77"/>
      <c r="J13" s="77"/>
      <c r="K13" s="77"/>
      <c r="L13" s="77"/>
      <c r="M13" s="76">
        <v>1531068646.1600001</v>
      </c>
      <c r="N13" s="76">
        <v>250543863.96000001</v>
      </c>
      <c r="O13" s="77"/>
      <c r="P13" s="76">
        <v>1280524782.2</v>
      </c>
      <c r="Q13" s="77"/>
      <c r="R13" s="77"/>
      <c r="S13" s="78"/>
      <c r="T13" s="77"/>
      <c r="U13" s="77"/>
      <c r="V13" s="78"/>
      <c r="W13" s="77"/>
      <c r="X13" s="77"/>
      <c r="Y13" s="78"/>
      <c r="Z13" s="77"/>
      <c r="AA13" s="77"/>
      <c r="AB13" s="77"/>
      <c r="AC13" s="77"/>
      <c r="AD13" s="35">
        <v>42418.720000000001</v>
      </c>
      <c r="AE13" s="76">
        <v>42418.720000000001</v>
      </c>
      <c r="AF13" s="77"/>
      <c r="AG13" s="76">
        <v>42418.720000000001</v>
      </c>
      <c r="AH13" s="77"/>
      <c r="AI13" s="77"/>
      <c r="AJ13" s="77"/>
      <c r="AK13" s="77"/>
      <c r="AL13" s="35">
        <v>1515589508.25</v>
      </c>
      <c r="AM13" s="77"/>
      <c r="AN13" s="77"/>
      <c r="AO13" s="77"/>
      <c r="AP13" s="77"/>
      <c r="AQ13" s="77"/>
      <c r="AR13" s="77"/>
      <c r="AS13" s="77"/>
      <c r="AT13" s="77"/>
      <c r="AU13" s="77"/>
      <c r="AV13" s="77"/>
      <c r="AW13" s="77"/>
      <c r="AX13" s="77"/>
      <c r="AY13" s="76">
        <v>1515589508.25</v>
      </c>
      <c r="AZ13" s="76">
        <v>114236952.84</v>
      </c>
      <c r="BA13" s="77"/>
      <c r="BB13" s="76">
        <v>253581415.94</v>
      </c>
      <c r="BC13" s="77"/>
      <c r="BD13" s="76">
        <v>1147771139.47</v>
      </c>
      <c r="BE13" s="77"/>
      <c r="BF13" s="77"/>
      <c r="BG13" s="78"/>
      <c r="BH13" s="77"/>
      <c r="BI13" s="77"/>
      <c r="BJ13" s="77"/>
      <c r="BK13" s="77"/>
      <c r="BL13" s="79"/>
      <c r="BM13" s="38">
        <v>3084983966.3600001</v>
      </c>
    </row>
    <row r="14" spans="1:65">
      <c r="A14" s="66"/>
      <c r="B14" s="67"/>
      <c r="C14" s="67" t="s">
        <v>1291</v>
      </c>
      <c r="D14" s="67"/>
      <c r="E14" s="68" t="s">
        <v>1292</v>
      </c>
      <c r="F14" s="36">
        <v>949007591.30999994</v>
      </c>
      <c r="G14" s="69"/>
      <c r="H14" s="69"/>
      <c r="I14" s="69"/>
      <c r="J14" s="69"/>
      <c r="K14" s="69"/>
      <c r="L14" s="69"/>
      <c r="M14" s="34">
        <v>949007591.30999994</v>
      </c>
      <c r="N14" s="69"/>
      <c r="O14" s="69"/>
      <c r="P14" s="34">
        <v>949007591.30999994</v>
      </c>
      <c r="Q14" s="69"/>
      <c r="R14" s="69"/>
      <c r="S14" s="70"/>
      <c r="T14" s="69"/>
      <c r="U14" s="69"/>
      <c r="V14" s="70"/>
      <c r="W14" s="69"/>
      <c r="X14" s="69"/>
      <c r="Y14" s="70"/>
      <c r="Z14" s="69"/>
      <c r="AA14" s="69"/>
      <c r="AB14" s="69"/>
      <c r="AC14" s="69"/>
      <c r="AD14" s="70"/>
      <c r="AE14" s="69"/>
      <c r="AF14" s="69"/>
      <c r="AG14" s="69"/>
      <c r="AH14" s="69"/>
      <c r="AI14" s="69"/>
      <c r="AJ14" s="69"/>
      <c r="AK14" s="69"/>
      <c r="AL14" s="36">
        <v>1303202699.04</v>
      </c>
      <c r="AM14" s="69"/>
      <c r="AN14" s="69"/>
      <c r="AO14" s="69"/>
      <c r="AP14" s="69"/>
      <c r="AQ14" s="69"/>
      <c r="AR14" s="69"/>
      <c r="AS14" s="69"/>
      <c r="AT14" s="69"/>
      <c r="AU14" s="69"/>
      <c r="AV14" s="69"/>
      <c r="AW14" s="69"/>
      <c r="AX14" s="69"/>
      <c r="AY14" s="34">
        <v>1303202699.04</v>
      </c>
      <c r="AZ14" s="34">
        <v>114236952.84</v>
      </c>
      <c r="BA14" s="69"/>
      <c r="BB14" s="34">
        <v>253581415.94</v>
      </c>
      <c r="BC14" s="69"/>
      <c r="BD14" s="34">
        <v>935384330.25999999</v>
      </c>
      <c r="BE14" s="69"/>
      <c r="BF14" s="69"/>
      <c r="BG14" s="70"/>
      <c r="BH14" s="69"/>
      <c r="BI14" s="69"/>
      <c r="BJ14" s="69"/>
      <c r="BK14" s="69"/>
      <c r="BL14" s="71"/>
      <c r="BM14" s="37">
        <v>2252210290.3400002</v>
      </c>
    </row>
    <row r="15" spans="1:65">
      <c r="A15" s="73"/>
      <c r="B15" s="74"/>
      <c r="C15" s="74"/>
      <c r="D15" s="74" t="s">
        <v>1293</v>
      </c>
      <c r="E15" s="75" t="s">
        <v>1294</v>
      </c>
      <c r="F15" s="35">
        <v>7027084.54</v>
      </c>
      <c r="G15" s="77"/>
      <c r="H15" s="77"/>
      <c r="I15" s="77"/>
      <c r="J15" s="77"/>
      <c r="K15" s="77"/>
      <c r="L15" s="77"/>
      <c r="M15" s="76">
        <v>7027084.54</v>
      </c>
      <c r="N15" s="77"/>
      <c r="O15" s="77"/>
      <c r="P15" s="76">
        <v>7027084.54</v>
      </c>
      <c r="Q15" s="77"/>
      <c r="R15" s="77"/>
      <c r="S15" s="78"/>
      <c r="T15" s="77"/>
      <c r="U15" s="77"/>
      <c r="V15" s="78"/>
      <c r="W15" s="77"/>
      <c r="X15" s="77"/>
      <c r="Y15" s="78"/>
      <c r="Z15" s="77"/>
      <c r="AA15" s="77"/>
      <c r="AB15" s="77"/>
      <c r="AC15" s="77"/>
      <c r="AD15" s="78"/>
      <c r="AE15" s="77"/>
      <c r="AF15" s="77"/>
      <c r="AG15" s="77"/>
      <c r="AH15" s="77"/>
      <c r="AI15" s="77"/>
      <c r="AJ15" s="77"/>
      <c r="AK15" s="77"/>
      <c r="AL15" s="35">
        <v>8794353.5500000007</v>
      </c>
      <c r="AM15" s="77"/>
      <c r="AN15" s="77"/>
      <c r="AO15" s="77"/>
      <c r="AP15" s="77"/>
      <c r="AQ15" s="77"/>
      <c r="AR15" s="77"/>
      <c r="AS15" s="77"/>
      <c r="AT15" s="77"/>
      <c r="AU15" s="77"/>
      <c r="AV15" s="77"/>
      <c r="AW15" s="77"/>
      <c r="AX15" s="77"/>
      <c r="AY15" s="76">
        <v>8794353.5500000007</v>
      </c>
      <c r="AZ15" s="77"/>
      <c r="BA15" s="77"/>
      <c r="BB15" s="77"/>
      <c r="BC15" s="77"/>
      <c r="BD15" s="76">
        <v>8794353.5500000007</v>
      </c>
      <c r="BE15" s="77"/>
      <c r="BF15" s="77"/>
      <c r="BG15" s="78"/>
      <c r="BH15" s="77"/>
      <c r="BI15" s="77"/>
      <c r="BJ15" s="77"/>
      <c r="BK15" s="77"/>
      <c r="BL15" s="79"/>
      <c r="BM15" s="38">
        <v>15821438.09</v>
      </c>
    </row>
    <row r="16" spans="1:65">
      <c r="A16" s="66"/>
      <c r="B16" s="67"/>
      <c r="C16" s="67"/>
      <c r="D16" s="67" t="s">
        <v>1295</v>
      </c>
      <c r="E16" s="68" t="s">
        <v>1296</v>
      </c>
      <c r="F16" s="36">
        <v>941980506.76999998</v>
      </c>
      <c r="G16" s="69"/>
      <c r="H16" s="69"/>
      <c r="I16" s="69"/>
      <c r="J16" s="69"/>
      <c r="K16" s="69"/>
      <c r="L16" s="69"/>
      <c r="M16" s="34">
        <v>941980506.76999998</v>
      </c>
      <c r="N16" s="69"/>
      <c r="O16" s="69"/>
      <c r="P16" s="34">
        <v>941980506.76999998</v>
      </c>
      <c r="Q16" s="69"/>
      <c r="R16" s="69"/>
      <c r="S16" s="70"/>
      <c r="T16" s="69"/>
      <c r="U16" s="69"/>
      <c r="V16" s="70"/>
      <c r="W16" s="69"/>
      <c r="X16" s="69"/>
      <c r="Y16" s="70"/>
      <c r="Z16" s="69"/>
      <c r="AA16" s="69"/>
      <c r="AB16" s="69"/>
      <c r="AC16" s="69"/>
      <c r="AD16" s="70"/>
      <c r="AE16" s="69"/>
      <c r="AF16" s="69"/>
      <c r="AG16" s="69"/>
      <c r="AH16" s="69"/>
      <c r="AI16" s="69"/>
      <c r="AJ16" s="69"/>
      <c r="AK16" s="69"/>
      <c r="AL16" s="36">
        <v>1294408345.48</v>
      </c>
      <c r="AM16" s="69"/>
      <c r="AN16" s="69"/>
      <c r="AO16" s="69"/>
      <c r="AP16" s="69"/>
      <c r="AQ16" s="69"/>
      <c r="AR16" s="69"/>
      <c r="AS16" s="69"/>
      <c r="AT16" s="69"/>
      <c r="AU16" s="69"/>
      <c r="AV16" s="69"/>
      <c r="AW16" s="69"/>
      <c r="AX16" s="69"/>
      <c r="AY16" s="34">
        <v>1294408345.48</v>
      </c>
      <c r="AZ16" s="34">
        <v>114236952.84</v>
      </c>
      <c r="BA16" s="69"/>
      <c r="BB16" s="34">
        <v>253581415.94</v>
      </c>
      <c r="BC16" s="69"/>
      <c r="BD16" s="34">
        <v>926589976.71000004</v>
      </c>
      <c r="BE16" s="69"/>
      <c r="BF16" s="69"/>
      <c r="BG16" s="70"/>
      <c r="BH16" s="69"/>
      <c r="BI16" s="69"/>
      <c r="BJ16" s="69"/>
      <c r="BK16" s="69"/>
      <c r="BL16" s="71"/>
      <c r="BM16" s="37">
        <v>2236388852.25</v>
      </c>
    </row>
    <row r="17" spans="1:65">
      <c r="A17" s="73"/>
      <c r="B17" s="74"/>
      <c r="C17" s="74" t="s">
        <v>1297</v>
      </c>
      <c r="D17" s="74"/>
      <c r="E17" s="75" t="s">
        <v>1298</v>
      </c>
      <c r="F17" s="35">
        <v>620344448.08000004</v>
      </c>
      <c r="G17" s="76">
        <v>38283393.219999999</v>
      </c>
      <c r="H17" s="76">
        <v>38283393.219999999</v>
      </c>
      <c r="I17" s="77"/>
      <c r="J17" s="77"/>
      <c r="K17" s="77"/>
      <c r="L17" s="77"/>
      <c r="M17" s="76">
        <v>582061054.86000001</v>
      </c>
      <c r="N17" s="76">
        <v>250543863.96000001</v>
      </c>
      <c r="O17" s="77"/>
      <c r="P17" s="76">
        <v>331517190.89999998</v>
      </c>
      <c r="Q17" s="77"/>
      <c r="R17" s="77"/>
      <c r="S17" s="78"/>
      <c r="T17" s="77"/>
      <c r="U17" s="77"/>
      <c r="V17" s="78"/>
      <c r="W17" s="77"/>
      <c r="X17" s="77"/>
      <c r="Y17" s="78"/>
      <c r="Z17" s="77"/>
      <c r="AA17" s="77"/>
      <c r="AB17" s="77"/>
      <c r="AC17" s="77"/>
      <c r="AD17" s="35">
        <v>42418.720000000001</v>
      </c>
      <c r="AE17" s="76">
        <v>42418.720000000001</v>
      </c>
      <c r="AF17" s="77"/>
      <c r="AG17" s="76">
        <v>42418.720000000001</v>
      </c>
      <c r="AH17" s="77"/>
      <c r="AI17" s="77"/>
      <c r="AJ17" s="77"/>
      <c r="AK17" s="77"/>
      <c r="AL17" s="35">
        <v>212386809.21000001</v>
      </c>
      <c r="AM17" s="77"/>
      <c r="AN17" s="77"/>
      <c r="AO17" s="77"/>
      <c r="AP17" s="77"/>
      <c r="AQ17" s="77"/>
      <c r="AR17" s="77"/>
      <c r="AS17" s="77"/>
      <c r="AT17" s="77"/>
      <c r="AU17" s="77"/>
      <c r="AV17" s="77"/>
      <c r="AW17" s="77"/>
      <c r="AX17" s="77"/>
      <c r="AY17" s="76">
        <v>212386809.21000001</v>
      </c>
      <c r="AZ17" s="77"/>
      <c r="BA17" s="77"/>
      <c r="BB17" s="77"/>
      <c r="BC17" s="77"/>
      <c r="BD17" s="76">
        <v>212386809.21000001</v>
      </c>
      <c r="BE17" s="77"/>
      <c r="BF17" s="77"/>
      <c r="BG17" s="78"/>
      <c r="BH17" s="77"/>
      <c r="BI17" s="77"/>
      <c r="BJ17" s="77"/>
      <c r="BK17" s="77"/>
      <c r="BL17" s="79"/>
      <c r="BM17" s="38">
        <v>832773676.00999999</v>
      </c>
    </row>
    <row r="18" spans="1:65">
      <c r="A18" s="66"/>
      <c r="B18" s="67" t="s">
        <v>1299</v>
      </c>
      <c r="C18" s="67"/>
      <c r="D18" s="67"/>
      <c r="E18" s="68" t="s">
        <v>1300</v>
      </c>
      <c r="F18" s="36">
        <v>91231325362.580002</v>
      </c>
      <c r="G18" s="34">
        <v>20093269207.240002</v>
      </c>
      <c r="H18" s="34">
        <v>20093269201.919998</v>
      </c>
      <c r="I18" s="34">
        <v>5.32</v>
      </c>
      <c r="J18" s="69"/>
      <c r="K18" s="34">
        <v>1538536.25</v>
      </c>
      <c r="L18" s="34">
        <v>1538536.25</v>
      </c>
      <c r="M18" s="34">
        <v>70815081078.289993</v>
      </c>
      <c r="N18" s="34">
        <v>70790761494.369995</v>
      </c>
      <c r="O18" s="69"/>
      <c r="P18" s="34">
        <v>21746336.780000001</v>
      </c>
      <c r="Q18" s="34">
        <v>2573247.14</v>
      </c>
      <c r="R18" s="34">
        <v>321436540.81</v>
      </c>
      <c r="S18" s="70"/>
      <c r="T18" s="69"/>
      <c r="U18" s="69"/>
      <c r="V18" s="70"/>
      <c r="W18" s="69"/>
      <c r="X18" s="69"/>
      <c r="Y18" s="36">
        <v>25183796.91</v>
      </c>
      <c r="Z18" s="34">
        <v>25183796.91</v>
      </c>
      <c r="AA18" s="69"/>
      <c r="AB18" s="69"/>
      <c r="AC18" s="69"/>
      <c r="AD18" s="36">
        <v>52890796801.889999</v>
      </c>
      <c r="AE18" s="34">
        <v>52890796801.889999</v>
      </c>
      <c r="AF18" s="34">
        <v>52592009021.339996</v>
      </c>
      <c r="AG18" s="34">
        <v>9745517.8399999999</v>
      </c>
      <c r="AH18" s="34">
        <v>289042262.70999998</v>
      </c>
      <c r="AI18" s="69"/>
      <c r="AJ18" s="69"/>
      <c r="AK18" s="69"/>
      <c r="AL18" s="36">
        <v>41764997779.550003</v>
      </c>
      <c r="AM18" s="69"/>
      <c r="AN18" s="69"/>
      <c r="AO18" s="69"/>
      <c r="AP18" s="69"/>
      <c r="AQ18" s="69"/>
      <c r="AR18" s="69"/>
      <c r="AS18" s="69"/>
      <c r="AT18" s="69"/>
      <c r="AU18" s="69"/>
      <c r="AV18" s="69"/>
      <c r="AW18" s="69"/>
      <c r="AX18" s="69"/>
      <c r="AY18" s="34">
        <v>41764997779.550003</v>
      </c>
      <c r="AZ18" s="34">
        <v>1025168486</v>
      </c>
      <c r="BA18" s="34">
        <v>519945121</v>
      </c>
      <c r="BB18" s="34">
        <v>677633828</v>
      </c>
      <c r="BC18" s="69"/>
      <c r="BD18" s="34">
        <v>39542250344.550003</v>
      </c>
      <c r="BE18" s="69"/>
      <c r="BF18" s="69"/>
      <c r="BG18" s="36">
        <v>39000970</v>
      </c>
      <c r="BH18" s="34">
        <v>39000970</v>
      </c>
      <c r="BI18" s="34">
        <v>39000970</v>
      </c>
      <c r="BJ18" s="69"/>
      <c r="BK18" s="69"/>
      <c r="BL18" s="71"/>
      <c r="BM18" s="37">
        <v>185951304710.94</v>
      </c>
    </row>
    <row r="19" spans="1:65">
      <c r="A19" s="73"/>
      <c r="B19" s="74"/>
      <c r="C19" s="74" t="s">
        <v>1301</v>
      </c>
      <c r="D19" s="74"/>
      <c r="E19" s="75" t="s">
        <v>1302</v>
      </c>
      <c r="F19" s="35">
        <v>6560391076.1499996</v>
      </c>
      <c r="G19" s="76">
        <v>2247989983.1399999</v>
      </c>
      <c r="H19" s="76">
        <v>2247989982.8400002</v>
      </c>
      <c r="I19" s="76">
        <v>0.28999999999999998</v>
      </c>
      <c r="J19" s="77"/>
      <c r="K19" s="77"/>
      <c r="L19" s="77"/>
      <c r="M19" s="76">
        <v>4294694374.6799998</v>
      </c>
      <c r="N19" s="76">
        <v>4294490843.0999999</v>
      </c>
      <c r="O19" s="77"/>
      <c r="P19" s="76">
        <v>61559.33</v>
      </c>
      <c r="Q19" s="76">
        <v>141972.26</v>
      </c>
      <c r="R19" s="76">
        <v>17706718.329999998</v>
      </c>
      <c r="S19" s="78"/>
      <c r="T19" s="77"/>
      <c r="U19" s="77"/>
      <c r="V19" s="78"/>
      <c r="W19" s="77"/>
      <c r="X19" s="77"/>
      <c r="Y19" s="35">
        <v>1389450.86</v>
      </c>
      <c r="Z19" s="76">
        <v>1389450.86</v>
      </c>
      <c r="AA19" s="77"/>
      <c r="AB19" s="77"/>
      <c r="AC19" s="77"/>
      <c r="AD19" s="35">
        <v>2909366891.6199999</v>
      </c>
      <c r="AE19" s="76">
        <v>2909366891.6199999</v>
      </c>
      <c r="AF19" s="76">
        <v>2892830094.1500001</v>
      </c>
      <c r="AG19" s="76">
        <v>536864.75</v>
      </c>
      <c r="AH19" s="76">
        <v>15999932.710000001</v>
      </c>
      <c r="AI19" s="77"/>
      <c r="AJ19" s="77"/>
      <c r="AK19" s="77"/>
      <c r="AL19" s="35">
        <v>2120692929.2</v>
      </c>
      <c r="AM19" s="77"/>
      <c r="AN19" s="77"/>
      <c r="AO19" s="77"/>
      <c r="AP19" s="77"/>
      <c r="AQ19" s="77"/>
      <c r="AR19" s="77"/>
      <c r="AS19" s="77"/>
      <c r="AT19" s="77"/>
      <c r="AU19" s="77"/>
      <c r="AV19" s="77"/>
      <c r="AW19" s="77"/>
      <c r="AX19" s="77"/>
      <c r="AY19" s="76">
        <v>2120692929.2</v>
      </c>
      <c r="AZ19" s="76">
        <v>56486783.579999998</v>
      </c>
      <c r="BA19" s="76">
        <v>28648976.170000002</v>
      </c>
      <c r="BB19" s="76">
        <v>37337623.920000002</v>
      </c>
      <c r="BC19" s="77"/>
      <c r="BD19" s="76">
        <v>1998219545.54</v>
      </c>
      <c r="BE19" s="77"/>
      <c r="BF19" s="77"/>
      <c r="BG19" s="35">
        <v>2148953.4500000002</v>
      </c>
      <c r="BH19" s="76">
        <v>2148953.4500000002</v>
      </c>
      <c r="BI19" s="76">
        <v>2148953.4500000002</v>
      </c>
      <c r="BJ19" s="77"/>
      <c r="BK19" s="77"/>
      <c r="BL19" s="79"/>
      <c r="BM19" s="38">
        <v>11593989301.280001</v>
      </c>
    </row>
    <row r="20" spans="1:65">
      <c r="A20" s="66"/>
      <c r="B20" s="67"/>
      <c r="C20" s="67" t="s">
        <v>1303</v>
      </c>
      <c r="D20" s="67"/>
      <c r="E20" s="68" t="s">
        <v>1304</v>
      </c>
      <c r="F20" s="36">
        <v>84670934286.440002</v>
      </c>
      <c r="G20" s="34">
        <v>17845279224.099998</v>
      </c>
      <c r="H20" s="34">
        <v>17845279219.080002</v>
      </c>
      <c r="I20" s="34">
        <v>5.0199999999999996</v>
      </c>
      <c r="J20" s="69"/>
      <c r="K20" s="34">
        <v>1538536.25</v>
      </c>
      <c r="L20" s="34">
        <v>1538536.25</v>
      </c>
      <c r="M20" s="34">
        <v>66520386703.610001</v>
      </c>
      <c r="N20" s="34">
        <v>66496270651.269997</v>
      </c>
      <c r="O20" s="69"/>
      <c r="P20" s="34">
        <v>21684777.449999999</v>
      </c>
      <c r="Q20" s="34">
        <v>2431274.88</v>
      </c>
      <c r="R20" s="34">
        <v>303729822.48000002</v>
      </c>
      <c r="S20" s="70"/>
      <c r="T20" s="69"/>
      <c r="U20" s="69"/>
      <c r="V20" s="70"/>
      <c r="W20" s="69"/>
      <c r="X20" s="69"/>
      <c r="Y20" s="36">
        <v>23794346.050000001</v>
      </c>
      <c r="Z20" s="34">
        <v>23794346.050000001</v>
      </c>
      <c r="AA20" s="69"/>
      <c r="AB20" s="69"/>
      <c r="AC20" s="69"/>
      <c r="AD20" s="36">
        <v>49981429910.279999</v>
      </c>
      <c r="AE20" s="34">
        <v>49981429910.279999</v>
      </c>
      <c r="AF20" s="34">
        <v>49699178927.190002</v>
      </c>
      <c r="AG20" s="34">
        <v>9208653.0899999999</v>
      </c>
      <c r="AH20" s="34">
        <v>273042330</v>
      </c>
      <c r="AI20" s="69"/>
      <c r="AJ20" s="69"/>
      <c r="AK20" s="69"/>
      <c r="AL20" s="36">
        <v>39644304850.349998</v>
      </c>
      <c r="AM20" s="69"/>
      <c r="AN20" s="69"/>
      <c r="AO20" s="69"/>
      <c r="AP20" s="69"/>
      <c r="AQ20" s="69"/>
      <c r="AR20" s="69"/>
      <c r="AS20" s="69"/>
      <c r="AT20" s="69"/>
      <c r="AU20" s="69"/>
      <c r="AV20" s="69"/>
      <c r="AW20" s="69"/>
      <c r="AX20" s="69"/>
      <c r="AY20" s="34">
        <v>39644304850.349998</v>
      </c>
      <c r="AZ20" s="34">
        <v>968681702.41999996</v>
      </c>
      <c r="BA20" s="34">
        <v>491296144.82999998</v>
      </c>
      <c r="BB20" s="34">
        <v>640296204.08000004</v>
      </c>
      <c r="BC20" s="69"/>
      <c r="BD20" s="34">
        <v>37544030799.010002</v>
      </c>
      <c r="BE20" s="69"/>
      <c r="BF20" s="69"/>
      <c r="BG20" s="36">
        <v>36852016.549999997</v>
      </c>
      <c r="BH20" s="34">
        <v>36852016.549999997</v>
      </c>
      <c r="BI20" s="34">
        <v>36852016.549999997</v>
      </c>
      <c r="BJ20" s="69"/>
      <c r="BK20" s="69"/>
      <c r="BL20" s="71"/>
      <c r="BM20" s="37">
        <v>174357315409.66</v>
      </c>
    </row>
    <row r="21" spans="1:65">
      <c r="A21" s="73"/>
      <c r="B21" s="74" t="s">
        <v>1305</v>
      </c>
      <c r="C21" s="74"/>
      <c r="D21" s="74"/>
      <c r="E21" s="75" t="s">
        <v>1306</v>
      </c>
      <c r="F21" s="35">
        <v>3071505337.3800001</v>
      </c>
      <c r="G21" s="76">
        <v>517787982.54000002</v>
      </c>
      <c r="H21" s="76">
        <v>517787982.54000002</v>
      </c>
      <c r="I21" s="77"/>
      <c r="J21" s="77"/>
      <c r="K21" s="77"/>
      <c r="L21" s="77"/>
      <c r="M21" s="76">
        <v>2552632584.21</v>
      </c>
      <c r="N21" s="76">
        <v>2552632584.21</v>
      </c>
      <c r="O21" s="77"/>
      <c r="P21" s="77"/>
      <c r="Q21" s="77"/>
      <c r="R21" s="76">
        <v>1084770.6299999999</v>
      </c>
      <c r="S21" s="78"/>
      <c r="T21" s="77"/>
      <c r="U21" s="77"/>
      <c r="V21" s="78"/>
      <c r="W21" s="77"/>
      <c r="X21" s="77"/>
      <c r="Y21" s="78"/>
      <c r="Z21" s="77"/>
      <c r="AA21" s="77"/>
      <c r="AB21" s="77"/>
      <c r="AC21" s="77"/>
      <c r="AD21" s="35">
        <v>3148627433.1999998</v>
      </c>
      <c r="AE21" s="76">
        <v>3148627433.1999998</v>
      </c>
      <c r="AF21" s="76">
        <v>3145929138</v>
      </c>
      <c r="AG21" s="76">
        <v>2698295.2</v>
      </c>
      <c r="AH21" s="77"/>
      <c r="AI21" s="77"/>
      <c r="AJ21" s="77"/>
      <c r="AK21" s="77"/>
      <c r="AL21" s="35">
        <v>1442436</v>
      </c>
      <c r="AM21" s="76">
        <v>1442436</v>
      </c>
      <c r="AN21" s="77"/>
      <c r="AO21" s="77"/>
      <c r="AP21" s="77"/>
      <c r="AQ21" s="77"/>
      <c r="AR21" s="77"/>
      <c r="AS21" s="76">
        <v>1442436</v>
      </c>
      <c r="AT21" s="77"/>
      <c r="AU21" s="77"/>
      <c r="AV21" s="77"/>
      <c r="AW21" s="77"/>
      <c r="AX21" s="77"/>
      <c r="AY21" s="77"/>
      <c r="AZ21" s="77"/>
      <c r="BA21" s="77"/>
      <c r="BB21" s="77"/>
      <c r="BC21" s="77"/>
      <c r="BD21" s="77"/>
      <c r="BE21" s="77"/>
      <c r="BF21" s="77"/>
      <c r="BG21" s="78"/>
      <c r="BH21" s="77"/>
      <c r="BI21" s="77"/>
      <c r="BJ21" s="77"/>
      <c r="BK21" s="77"/>
      <c r="BL21" s="79"/>
      <c r="BM21" s="38">
        <v>6221575206.5699997</v>
      </c>
    </row>
    <row r="22" spans="1:65">
      <c r="A22" s="66"/>
      <c r="B22" s="67" t="s">
        <v>1307</v>
      </c>
      <c r="C22" s="67"/>
      <c r="D22" s="67"/>
      <c r="E22" s="68" t="s">
        <v>1308</v>
      </c>
      <c r="F22" s="36">
        <v>4556076176.9799995</v>
      </c>
      <c r="G22" s="34">
        <v>742228020.19000006</v>
      </c>
      <c r="H22" s="34">
        <v>742228020.19000006</v>
      </c>
      <c r="I22" s="69"/>
      <c r="J22" s="69"/>
      <c r="K22" s="69"/>
      <c r="L22" s="69"/>
      <c r="M22" s="34">
        <v>3812612542.7399998</v>
      </c>
      <c r="N22" s="34">
        <v>3812612542.7399998</v>
      </c>
      <c r="O22" s="69"/>
      <c r="P22" s="69"/>
      <c r="Q22" s="69"/>
      <c r="R22" s="34">
        <v>1235614.04</v>
      </c>
      <c r="S22" s="70"/>
      <c r="T22" s="69"/>
      <c r="U22" s="69"/>
      <c r="V22" s="70"/>
      <c r="W22" s="69"/>
      <c r="X22" s="69"/>
      <c r="Y22" s="70"/>
      <c r="Z22" s="69"/>
      <c r="AA22" s="69"/>
      <c r="AB22" s="69"/>
      <c r="AC22" s="69"/>
      <c r="AD22" s="36">
        <v>2168509667.1900001</v>
      </c>
      <c r="AE22" s="34">
        <v>2168509667.1900001</v>
      </c>
      <c r="AF22" s="34">
        <v>2168509667.1900001</v>
      </c>
      <c r="AG22" s="69"/>
      <c r="AH22" s="69"/>
      <c r="AI22" s="69"/>
      <c r="AJ22" s="69"/>
      <c r="AK22" s="69"/>
      <c r="AL22" s="36">
        <v>1471446609.49</v>
      </c>
      <c r="AM22" s="34">
        <v>1462886803.99</v>
      </c>
      <c r="AN22" s="69"/>
      <c r="AO22" s="69"/>
      <c r="AP22" s="69"/>
      <c r="AQ22" s="69"/>
      <c r="AR22" s="69"/>
      <c r="AS22" s="34">
        <v>1462886803.99</v>
      </c>
      <c r="AT22" s="69"/>
      <c r="AU22" s="69"/>
      <c r="AV22" s="69"/>
      <c r="AW22" s="69"/>
      <c r="AX22" s="69"/>
      <c r="AY22" s="34">
        <v>8559805.5</v>
      </c>
      <c r="AZ22" s="69"/>
      <c r="BA22" s="69"/>
      <c r="BB22" s="69"/>
      <c r="BC22" s="69"/>
      <c r="BD22" s="34">
        <v>8559805.5</v>
      </c>
      <c r="BE22" s="69"/>
      <c r="BF22" s="69"/>
      <c r="BG22" s="70"/>
      <c r="BH22" s="69"/>
      <c r="BI22" s="69"/>
      <c r="BJ22" s="69"/>
      <c r="BK22" s="69"/>
      <c r="BL22" s="71"/>
      <c r="BM22" s="37">
        <v>8196032453.6599998</v>
      </c>
    </row>
    <row r="23" spans="1:65">
      <c r="A23" s="73"/>
      <c r="B23" s="74" t="s">
        <v>1309</v>
      </c>
      <c r="C23" s="74"/>
      <c r="D23" s="74"/>
      <c r="E23" s="75" t="s">
        <v>1310</v>
      </c>
      <c r="F23" s="35">
        <v>3243081301.77</v>
      </c>
      <c r="G23" s="76">
        <v>1867158632.79</v>
      </c>
      <c r="H23" s="76">
        <v>308564644.06999999</v>
      </c>
      <c r="I23" s="76">
        <v>1558593988.72</v>
      </c>
      <c r="J23" s="77"/>
      <c r="K23" s="77"/>
      <c r="L23" s="77"/>
      <c r="M23" s="76">
        <v>1374870515.8</v>
      </c>
      <c r="N23" s="76">
        <v>144807003.08000001</v>
      </c>
      <c r="O23" s="77"/>
      <c r="P23" s="76">
        <v>1230063512.71</v>
      </c>
      <c r="Q23" s="77"/>
      <c r="R23" s="76">
        <v>1052153.18</v>
      </c>
      <c r="S23" s="78"/>
      <c r="T23" s="77"/>
      <c r="U23" s="77"/>
      <c r="V23" s="78"/>
      <c r="W23" s="77"/>
      <c r="X23" s="77"/>
      <c r="Y23" s="78"/>
      <c r="Z23" s="77"/>
      <c r="AA23" s="77"/>
      <c r="AB23" s="77"/>
      <c r="AC23" s="77"/>
      <c r="AD23" s="35">
        <v>1273316775.8</v>
      </c>
      <c r="AE23" s="76">
        <v>1273316775.8</v>
      </c>
      <c r="AF23" s="76">
        <v>1273316775.8</v>
      </c>
      <c r="AG23" s="77"/>
      <c r="AH23" s="77"/>
      <c r="AI23" s="77"/>
      <c r="AJ23" s="77"/>
      <c r="AK23" s="77"/>
      <c r="AL23" s="35">
        <v>953051319</v>
      </c>
      <c r="AM23" s="77"/>
      <c r="AN23" s="77"/>
      <c r="AO23" s="77"/>
      <c r="AP23" s="77"/>
      <c r="AQ23" s="77"/>
      <c r="AR23" s="77"/>
      <c r="AS23" s="77"/>
      <c r="AT23" s="77"/>
      <c r="AU23" s="77"/>
      <c r="AV23" s="77"/>
      <c r="AW23" s="77"/>
      <c r="AX23" s="77"/>
      <c r="AY23" s="76">
        <v>953051319</v>
      </c>
      <c r="AZ23" s="77"/>
      <c r="BA23" s="76">
        <v>2500000</v>
      </c>
      <c r="BB23" s="77"/>
      <c r="BC23" s="77"/>
      <c r="BD23" s="76">
        <v>950551319</v>
      </c>
      <c r="BE23" s="77"/>
      <c r="BF23" s="77"/>
      <c r="BG23" s="78"/>
      <c r="BH23" s="77"/>
      <c r="BI23" s="77"/>
      <c r="BJ23" s="77"/>
      <c r="BK23" s="77"/>
      <c r="BL23" s="79"/>
      <c r="BM23" s="38">
        <v>5469449396.5600004</v>
      </c>
    </row>
    <row r="24" spans="1:65">
      <c r="A24" s="66"/>
      <c r="B24" s="67" t="s">
        <v>1311</v>
      </c>
      <c r="C24" s="67"/>
      <c r="D24" s="67"/>
      <c r="E24" s="68" t="s">
        <v>1312</v>
      </c>
      <c r="F24" s="36">
        <v>625136110.48000002</v>
      </c>
      <c r="G24" s="34">
        <v>103672080.36</v>
      </c>
      <c r="H24" s="34">
        <v>103672080.36</v>
      </c>
      <c r="I24" s="69"/>
      <c r="J24" s="69"/>
      <c r="K24" s="69"/>
      <c r="L24" s="69"/>
      <c r="M24" s="34">
        <v>521413620.67000002</v>
      </c>
      <c r="N24" s="34">
        <v>521413620.67000002</v>
      </c>
      <c r="O24" s="69"/>
      <c r="P24" s="69"/>
      <c r="Q24" s="69"/>
      <c r="R24" s="34">
        <v>50409.440000000002</v>
      </c>
      <c r="S24" s="70"/>
      <c r="T24" s="69"/>
      <c r="U24" s="69"/>
      <c r="V24" s="70"/>
      <c r="W24" s="69"/>
      <c r="X24" s="69"/>
      <c r="Y24" s="70"/>
      <c r="Z24" s="69"/>
      <c r="AA24" s="69"/>
      <c r="AB24" s="69"/>
      <c r="AC24" s="69"/>
      <c r="AD24" s="36">
        <v>66432250.07</v>
      </c>
      <c r="AE24" s="34">
        <v>66432250.07</v>
      </c>
      <c r="AF24" s="34">
        <v>66425502.460000001</v>
      </c>
      <c r="AG24" s="34">
        <v>6747.61</v>
      </c>
      <c r="AH24" s="69"/>
      <c r="AI24" s="69"/>
      <c r="AJ24" s="69"/>
      <c r="AK24" s="69"/>
      <c r="AL24" s="36">
        <v>25990186033.91</v>
      </c>
      <c r="AM24" s="69"/>
      <c r="AN24" s="69"/>
      <c r="AO24" s="69"/>
      <c r="AP24" s="69"/>
      <c r="AQ24" s="69"/>
      <c r="AR24" s="69"/>
      <c r="AS24" s="69"/>
      <c r="AT24" s="34">
        <v>25981879499.549999</v>
      </c>
      <c r="AU24" s="34">
        <v>22384834116.169998</v>
      </c>
      <c r="AV24" s="34">
        <v>3597045383.3899999</v>
      </c>
      <c r="AW24" s="69"/>
      <c r="AX24" s="34">
        <v>8306534.3600000003</v>
      </c>
      <c r="AY24" s="69"/>
      <c r="AZ24" s="69"/>
      <c r="BA24" s="69"/>
      <c r="BB24" s="69"/>
      <c r="BC24" s="69"/>
      <c r="BD24" s="69"/>
      <c r="BE24" s="69"/>
      <c r="BF24" s="69"/>
      <c r="BG24" s="70"/>
      <c r="BH24" s="69"/>
      <c r="BI24" s="69"/>
      <c r="BJ24" s="69"/>
      <c r="BK24" s="69"/>
      <c r="BL24" s="71"/>
      <c r="BM24" s="37">
        <v>26681754394.459999</v>
      </c>
    </row>
    <row r="25" spans="1:65">
      <c r="A25" s="73"/>
      <c r="B25" s="74" t="s">
        <v>1313</v>
      </c>
      <c r="C25" s="74"/>
      <c r="D25" s="74"/>
      <c r="E25" s="75" t="s">
        <v>1314</v>
      </c>
      <c r="F25" s="35">
        <v>6104158007.3599997</v>
      </c>
      <c r="G25" s="76">
        <v>59853923.340000004</v>
      </c>
      <c r="H25" s="76">
        <v>59853923.340000004</v>
      </c>
      <c r="I25" s="77"/>
      <c r="J25" s="77"/>
      <c r="K25" s="77"/>
      <c r="L25" s="77"/>
      <c r="M25" s="76">
        <v>6044304084.0299997</v>
      </c>
      <c r="N25" s="76">
        <v>6044304084.0299997</v>
      </c>
      <c r="O25" s="77"/>
      <c r="P25" s="77"/>
      <c r="Q25" s="77"/>
      <c r="R25" s="77"/>
      <c r="S25" s="78"/>
      <c r="T25" s="77"/>
      <c r="U25" s="77"/>
      <c r="V25" s="78"/>
      <c r="W25" s="77"/>
      <c r="X25" s="77"/>
      <c r="Y25" s="35">
        <v>1149351921</v>
      </c>
      <c r="Z25" s="76">
        <v>1149351921</v>
      </c>
      <c r="AA25" s="77"/>
      <c r="AB25" s="77"/>
      <c r="AC25" s="77"/>
      <c r="AD25" s="35">
        <v>7159698.1100000003</v>
      </c>
      <c r="AE25" s="76">
        <v>7159698.1100000003</v>
      </c>
      <c r="AF25" s="77"/>
      <c r="AG25" s="76">
        <v>7159698.1100000003</v>
      </c>
      <c r="AH25" s="77"/>
      <c r="AI25" s="77"/>
      <c r="AJ25" s="77"/>
      <c r="AK25" s="77"/>
      <c r="AL25" s="35">
        <v>18343153490.950001</v>
      </c>
      <c r="AM25" s="76">
        <v>331548172</v>
      </c>
      <c r="AN25" s="77"/>
      <c r="AO25" s="77"/>
      <c r="AP25" s="77"/>
      <c r="AQ25" s="77"/>
      <c r="AR25" s="77"/>
      <c r="AS25" s="76">
        <v>331548172</v>
      </c>
      <c r="AT25" s="77"/>
      <c r="AU25" s="77"/>
      <c r="AV25" s="77"/>
      <c r="AW25" s="77"/>
      <c r="AX25" s="77"/>
      <c r="AY25" s="76">
        <v>18011605318.950001</v>
      </c>
      <c r="AZ25" s="77"/>
      <c r="BA25" s="77"/>
      <c r="BB25" s="77"/>
      <c r="BC25" s="77"/>
      <c r="BD25" s="76">
        <v>18011605318.950001</v>
      </c>
      <c r="BE25" s="77"/>
      <c r="BF25" s="77"/>
      <c r="BG25" s="35">
        <v>482671670</v>
      </c>
      <c r="BH25" s="76">
        <v>482671670</v>
      </c>
      <c r="BI25" s="77"/>
      <c r="BJ25" s="76">
        <v>482671670</v>
      </c>
      <c r="BK25" s="77"/>
      <c r="BL25" s="79"/>
      <c r="BM25" s="80">
        <v>26086494787.43</v>
      </c>
    </row>
    <row r="26" spans="1:65">
      <c r="A26" s="81" t="s">
        <v>1315</v>
      </c>
      <c r="B26" s="82"/>
      <c r="C26" s="82"/>
      <c r="D26" s="82"/>
      <c r="E26" s="83" t="s">
        <v>1316</v>
      </c>
      <c r="F26" s="84">
        <v>110749473292.66</v>
      </c>
      <c r="G26" s="85">
        <v>40813942239.18</v>
      </c>
      <c r="H26" s="85">
        <v>40813942218.980003</v>
      </c>
      <c r="I26" s="85">
        <v>20.2</v>
      </c>
      <c r="J26" s="86"/>
      <c r="K26" s="86"/>
      <c r="L26" s="86"/>
      <c r="M26" s="85">
        <v>69860527406.889999</v>
      </c>
      <c r="N26" s="85">
        <v>69850334171.25</v>
      </c>
      <c r="O26" s="86"/>
      <c r="P26" s="85">
        <v>4780543.38</v>
      </c>
      <c r="Q26" s="85">
        <v>5412692.2599999998</v>
      </c>
      <c r="R26" s="85">
        <v>75003646.590000004</v>
      </c>
      <c r="S26" s="87"/>
      <c r="T26" s="86"/>
      <c r="U26" s="86"/>
      <c r="V26" s="87"/>
      <c r="W26" s="86"/>
      <c r="X26" s="86"/>
      <c r="Y26" s="84">
        <v>2008751669.8900001</v>
      </c>
      <c r="Z26" s="85">
        <v>2008751669.8900001</v>
      </c>
      <c r="AA26" s="86"/>
      <c r="AB26" s="86"/>
      <c r="AC26" s="86"/>
      <c r="AD26" s="84">
        <v>51932443752.220001</v>
      </c>
      <c r="AE26" s="85">
        <v>51932443752.220001</v>
      </c>
      <c r="AF26" s="85">
        <v>50833571500.300003</v>
      </c>
      <c r="AG26" s="85">
        <v>963825.63</v>
      </c>
      <c r="AH26" s="85">
        <v>1097908426.29</v>
      </c>
      <c r="AI26" s="86"/>
      <c r="AJ26" s="86"/>
      <c r="AK26" s="86"/>
      <c r="AL26" s="84">
        <v>17743582321.459999</v>
      </c>
      <c r="AM26" s="85">
        <v>13180189080.559999</v>
      </c>
      <c r="AN26" s="86"/>
      <c r="AO26" s="86"/>
      <c r="AP26" s="86"/>
      <c r="AQ26" s="86"/>
      <c r="AR26" s="86"/>
      <c r="AS26" s="85">
        <v>13180189080.559999</v>
      </c>
      <c r="AT26" s="86"/>
      <c r="AU26" s="86"/>
      <c r="AV26" s="86"/>
      <c r="AW26" s="86"/>
      <c r="AX26" s="85">
        <v>4560179760.4200001</v>
      </c>
      <c r="AY26" s="85">
        <v>3213480.48</v>
      </c>
      <c r="AZ26" s="85">
        <v>3213480.48</v>
      </c>
      <c r="BA26" s="86"/>
      <c r="BB26" s="86"/>
      <c r="BC26" s="86"/>
      <c r="BD26" s="86"/>
      <c r="BE26" s="86"/>
      <c r="BF26" s="86"/>
      <c r="BG26" s="87"/>
      <c r="BH26" s="86"/>
      <c r="BI26" s="86"/>
      <c r="BJ26" s="86"/>
      <c r="BK26" s="86"/>
      <c r="BL26" s="88"/>
      <c r="BM26" s="89">
        <v>182434251036.23999</v>
      </c>
    </row>
    <row r="27" spans="1:65">
      <c r="A27" s="73"/>
      <c r="B27" s="74" t="s">
        <v>1317</v>
      </c>
      <c r="C27" s="74"/>
      <c r="D27" s="74"/>
      <c r="E27" s="75" t="s">
        <v>1318</v>
      </c>
      <c r="F27" s="35">
        <v>56385568490.349998</v>
      </c>
      <c r="G27" s="76">
        <v>34127913641.009998</v>
      </c>
      <c r="H27" s="76">
        <v>34127913631.09</v>
      </c>
      <c r="I27" s="76">
        <v>9.92</v>
      </c>
      <c r="J27" s="77"/>
      <c r="K27" s="77"/>
      <c r="L27" s="77"/>
      <c r="M27" s="76">
        <v>22210123181.470001</v>
      </c>
      <c r="N27" s="76">
        <v>22210123181.470001</v>
      </c>
      <c r="O27" s="77"/>
      <c r="P27" s="77"/>
      <c r="Q27" s="77"/>
      <c r="R27" s="76">
        <v>47531667.869999997</v>
      </c>
      <c r="S27" s="78"/>
      <c r="T27" s="77"/>
      <c r="U27" s="77"/>
      <c r="V27" s="78"/>
      <c r="W27" s="77"/>
      <c r="X27" s="77"/>
      <c r="Y27" s="35">
        <v>1283280745.25</v>
      </c>
      <c r="Z27" s="76">
        <v>1283280745.25</v>
      </c>
      <c r="AA27" s="77"/>
      <c r="AB27" s="77"/>
      <c r="AC27" s="77"/>
      <c r="AD27" s="35">
        <v>23540142911.34</v>
      </c>
      <c r="AE27" s="76">
        <v>23540142911.34</v>
      </c>
      <c r="AF27" s="76">
        <v>23001014743.830002</v>
      </c>
      <c r="AG27" s="77"/>
      <c r="AH27" s="76">
        <v>539128167.50999999</v>
      </c>
      <c r="AI27" s="77"/>
      <c r="AJ27" s="77"/>
      <c r="AK27" s="77"/>
      <c r="AL27" s="35">
        <v>1943144595.03</v>
      </c>
      <c r="AM27" s="76">
        <v>1065777986.8099999</v>
      </c>
      <c r="AN27" s="77"/>
      <c r="AO27" s="77"/>
      <c r="AP27" s="77"/>
      <c r="AQ27" s="77"/>
      <c r="AR27" s="77"/>
      <c r="AS27" s="76">
        <v>1065777986.8099999</v>
      </c>
      <c r="AT27" s="77"/>
      <c r="AU27" s="77"/>
      <c r="AV27" s="77"/>
      <c r="AW27" s="77"/>
      <c r="AX27" s="76">
        <v>877366608.22000003</v>
      </c>
      <c r="AY27" s="77"/>
      <c r="AZ27" s="77"/>
      <c r="BA27" s="77"/>
      <c r="BB27" s="77"/>
      <c r="BC27" s="77"/>
      <c r="BD27" s="77"/>
      <c r="BE27" s="77"/>
      <c r="BF27" s="77"/>
      <c r="BG27" s="78"/>
      <c r="BH27" s="77"/>
      <c r="BI27" s="77"/>
      <c r="BJ27" s="77"/>
      <c r="BK27" s="77"/>
      <c r="BL27" s="79"/>
      <c r="BM27" s="90">
        <v>83152136741.970001</v>
      </c>
    </row>
    <row r="28" spans="1:65">
      <c r="A28" s="66"/>
      <c r="B28" s="67"/>
      <c r="C28" s="67" t="s">
        <v>1319</v>
      </c>
      <c r="D28" s="67"/>
      <c r="E28" s="68" t="s">
        <v>1320</v>
      </c>
      <c r="F28" s="36">
        <v>32131855931.080002</v>
      </c>
      <c r="G28" s="34">
        <v>12933770128.74</v>
      </c>
      <c r="H28" s="34">
        <v>12933770125.540001</v>
      </c>
      <c r="I28" s="34">
        <v>3.2</v>
      </c>
      <c r="J28" s="69"/>
      <c r="K28" s="69"/>
      <c r="L28" s="69"/>
      <c r="M28" s="34">
        <v>19150554134.470001</v>
      </c>
      <c r="N28" s="34">
        <v>19150554134.470001</v>
      </c>
      <c r="O28" s="69"/>
      <c r="P28" s="69"/>
      <c r="Q28" s="69"/>
      <c r="R28" s="34">
        <v>47531667.869999997</v>
      </c>
      <c r="S28" s="70"/>
      <c r="T28" s="69"/>
      <c r="U28" s="69"/>
      <c r="V28" s="70"/>
      <c r="W28" s="69"/>
      <c r="X28" s="69"/>
      <c r="Y28" s="36">
        <v>299811575.76999998</v>
      </c>
      <c r="Z28" s="34">
        <v>299811575.76999998</v>
      </c>
      <c r="AA28" s="69"/>
      <c r="AB28" s="69"/>
      <c r="AC28" s="69"/>
      <c r="AD28" s="36">
        <v>12158208824.98</v>
      </c>
      <c r="AE28" s="34">
        <v>12158208824.98</v>
      </c>
      <c r="AF28" s="34">
        <v>11984296512.879999</v>
      </c>
      <c r="AG28" s="69"/>
      <c r="AH28" s="34">
        <v>173912312.09999999</v>
      </c>
      <c r="AI28" s="69"/>
      <c r="AJ28" s="69"/>
      <c r="AK28" s="69"/>
      <c r="AL28" s="36">
        <v>1145742373.5999999</v>
      </c>
      <c r="AM28" s="34">
        <v>1065777986.8099999</v>
      </c>
      <c r="AN28" s="69"/>
      <c r="AO28" s="69"/>
      <c r="AP28" s="69"/>
      <c r="AQ28" s="69"/>
      <c r="AR28" s="69"/>
      <c r="AS28" s="34">
        <v>1065777986.8099999</v>
      </c>
      <c r="AT28" s="69"/>
      <c r="AU28" s="69"/>
      <c r="AV28" s="69"/>
      <c r="AW28" s="69"/>
      <c r="AX28" s="34">
        <v>79964386.790000007</v>
      </c>
      <c r="AY28" s="69"/>
      <c r="AZ28" s="69"/>
      <c r="BA28" s="69"/>
      <c r="BB28" s="69"/>
      <c r="BC28" s="69"/>
      <c r="BD28" s="69"/>
      <c r="BE28" s="69"/>
      <c r="BF28" s="69"/>
      <c r="BG28" s="70"/>
      <c r="BH28" s="69"/>
      <c r="BI28" s="69"/>
      <c r="BJ28" s="69"/>
      <c r="BK28" s="69"/>
      <c r="BL28" s="71"/>
      <c r="BM28" s="39">
        <v>45735618705.43</v>
      </c>
    </row>
    <row r="29" spans="1:65">
      <c r="A29" s="73"/>
      <c r="B29" s="74"/>
      <c r="C29" s="74" t="s">
        <v>1321</v>
      </c>
      <c r="D29" s="74"/>
      <c r="E29" s="75" t="s">
        <v>1322</v>
      </c>
      <c r="F29" s="35">
        <v>24253712559.27</v>
      </c>
      <c r="G29" s="76">
        <v>21194143512.27</v>
      </c>
      <c r="H29" s="76">
        <v>21194143505.549999</v>
      </c>
      <c r="I29" s="76">
        <v>6.72</v>
      </c>
      <c r="J29" s="77"/>
      <c r="K29" s="77"/>
      <c r="L29" s="77"/>
      <c r="M29" s="76">
        <v>3059569047</v>
      </c>
      <c r="N29" s="76">
        <v>3059569047</v>
      </c>
      <c r="O29" s="77"/>
      <c r="P29" s="77"/>
      <c r="Q29" s="77"/>
      <c r="R29" s="77"/>
      <c r="S29" s="78"/>
      <c r="T29" s="77"/>
      <c r="U29" s="77"/>
      <c r="V29" s="78"/>
      <c r="W29" s="77"/>
      <c r="X29" s="77"/>
      <c r="Y29" s="35">
        <v>983469169.48000002</v>
      </c>
      <c r="Z29" s="76">
        <v>983469169.48000002</v>
      </c>
      <c r="AA29" s="77"/>
      <c r="AB29" s="77"/>
      <c r="AC29" s="77"/>
      <c r="AD29" s="35">
        <v>11381934086.360001</v>
      </c>
      <c r="AE29" s="76">
        <v>11381934086.360001</v>
      </c>
      <c r="AF29" s="76">
        <v>11016718230.950001</v>
      </c>
      <c r="AG29" s="77"/>
      <c r="AH29" s="76">
        <v>365215855.41000003</v>
      </c>
      <c r="AI29" s="77"/>
      <c r="AJ29" s="77"/>
      <c r="AK29" s="77"/>
      <c r="AL29" s="35">
        <v>797402221.42999995</v>
      </c>
      <c r="AM29" s="77"/>
      <c r="AN29" s="77"/>
      <c r="AO29" s="77"/>
      <c r="AP29" s="77"/>
      <c r="AQ29" s="77"/>
      <c r="AR29" s="77"/>
      <c r="AS29" s="77"/>
      <c r="AT29" s="77"/>
      <c r="AU29" s="77"/>
      <c r="AV29" s="77"/>
      <c r="AW29" s="77"/>
      <c r="AX29" s="76">
        <v>797402221.42999995</v>
      </c>
      <c r="AY29" s="77"/>
      <c r="AZ29" s="77"/>
      <c r="BA29" s="77"/>
      <c r="BB29" s="77"/>
      <c r="BC29" s="77"/>
      <c r="BD29" s="77"/>
      <c r="BE29" s="77"/>
      <c r="BF29" s="77"/>
      <c r="BG29" s="78"/>
      <c r="BH29" s="77"/>
      <c r="BI29" s="77"/>
      <c r="BJ29" s="77"/>
      <c r="BK29" s="77"/>
      <c r="BL29" s="79"/>
      <c r="BM29" s="41">
        <v>37416518036.540001</v>
      </c>
    </row>
    <row r="30" spans="1:65">
      <c r="A30" s="66"/>
      <c r="B30" s="67" t="s">
        <v>1323</v>
      </c>
      <c r="C30" s="67"/>
      <c r="D30" s="67"/>
      <c r="E30" s="68" t="s">
        <v>1324</v>
      </c>
      <c r="F30" s="36">
        <v>27353302307.110001</v>
      </c>
      <c r="G30" s="34">
        <v>4914433049.8400002</v>
      </c>
      <c r="H30" s="34">
        <v>4914433040.29</v>
      </c>
      <c r="I30" s="34">
        <v>9.5500000000000007</v>
      </c>
      <c r="J30" s="69"/>
      <c r="K30" s="69"/>
      <c r="L30" s="69"/>
      <c r="M30" s="34">
        <v>22428361065.25</v>
      </c>
      <c r="N30" s="34">
        <v>22422948763.529999</v>
      </c>
      <c r="O30" s="69"/>
      <c r="P30" s="34">
        <v>2927787.24</v>
      </c>
      <c r="Q30" s="34">
        <v>2484514.48</v>
      </c>
      <c r="R30" s="34">
        <v>10508192.02</v>
      </c>
      <c r="S30" s="70"/>
      <c r="T30" s="69"/>
      <c r="U30" s="69"/>
      <c r="V30" s="70"/>
      <c r="W30" s="69"/>
      <c r="X30" s="69"/>
      <c r="Y30" s="36">
        <v>696813500.57000005</v>
      </c>
      <c r="Z30" s="34">
        <v>696813500.57000005</v>
      </c>
      <c r="AA30" s="69"/>
      <c r="AB30" s="69"/>
      <c r="AC30" s="69"/>
      <c r="AD30" s="36">
        <v>6084325014.9899998</v>
      </c>
      <c r="AE30" s="34">
        <v>6084325014.9899998</v>
      </c>
      <c r="AF30" s="34">
        <v>5565196763.3699999</v>
      </c>
      <c r="AG30" s="69"/>
      <c r="AH30" s="34">
        <v>519128251.62</v>
      </c>
      <c r="AI30" s="69"/>
      <c r="AJ30" s="69"/>
      <c r="AK30" s="69"/>
      <c r="AL30" s="36">
        <v>217221069</v>
      </c>
      <c r="AM30" s="34">
        <v>7167165</v>
      </c>
      <c r="AN30" s="69"/>
      <c r="AO30" s="69"/>
      <c r="AP30" s="69"/>
      <c r="AQ30" s="69"/>
      <c r="AR30" s="69"/>
      <c r="AS30" s="34">
        <v>7167165</v>
      </c>
      <c r="AT30" s="69"/>
      <c r="AU30" s="69"/>
      <c r="AV30" s="69"/>
      <c r="AW30" s="69"/>
      <c r="AX30" s="34">
        <v>210053904</v>
      </c>
      <c r="AY30" s="69"/>
      <c r="AZ30" s="69"/>
      <c r="BA30" s="69"/>
      <c r="BB30" s="69"/>
      <c r="BC30" s="69"/>
      <c r="BD30" s="69"/>
      <c r="BE30" s="69"/>
      <c r="BF30" s="69"/>
      <c r="BG30" s="70"/>
      <c r="BH30" s="69"/>
      <c r="BI30" s="69"/>
      <c r="BJ30" s="69"/>
      <c r="BK30" s="69"/>
      <c r="BL30" s="71"/>
      <c r="BM30" s="39">
        <v>34351661891.669998</v>
      </c>
    </row>
    <row r="31" spans="1:65">
      <c r="A31" s="73"/>
      <c r="B31" s="74" t="s">
        <v>1325</v>
      </c>
      <c r="C31" s="74"/>
      <c r="D31" s="74"/>
      <c r="E31" s="75" t="s">
        <v>1326</v>
      </c>
      <c r="F31" s="78"/>
      <c r="G31" s="77"/>
      <c r="H31" s="77"/>
      <c r="I31" s="77"/>
      <c r="J31" s="77"/>
      <c r="K31" s="77"/>
      <c r="L31" s="77"/>
      <c r="M31" s="77"/>
      <c r="N31" s="77"/>
      <c r="O31" s="77"/>
      <c r="P31" s="77"/>
      <c r="Q31" s="77"/>
      <c r="R31" s="77"/>
      <c r="S31" s="78"/>
      <c r="T31" s="77"/>
      <c r="U31" s="77"/>
      <c r="V31" s="78"/>
      <c r="W31" s="77"/>
      <c r="X31" s="77"/>
      <c r="Y31" s="78"/>
      <c r="Z31" s="77"/>
      <c r="AA31" s="77"/>
      <c r="AB31" s="77"/>
      <c r="AC31" s="77"/>
      <c r="AD31" s="35">
        <v>222754974.72999999</v>
      </c>
      <c r="AE31" s="76">
        <v>222754974.72999999</v>
      </c>
      <c r="AF31" s="76">
        <v>222754974.72999999</v>
      </c>
      <c r="AG31" s="77"/>
      <c r="AH31" s="77"/>
      <c r="AI31" s="77"/>
      <c r="AJ31" s="77"/>
      <c r="AK31" s="77"/>
      <c r="AL31" s="35">
        <v>12061337064.75</v>
      </c>
      <c r="AM31" s="76">
        <v>12061337064.75</v>
      </c>
      <c r="AN31" s="77"/>
      <c r="AO31" s="77"/>
      <c r="AP31" s="77"/>
      <c r="AQ31" s="77"/>
      <c r="AR31" s="77"/>
      <c r="AS31" s="76">
        <v>12061337064.75</v>
      </c>
      <c r="AT31" s="77"/>
      <c r="AU31" s="77"/>
      <c r="AV31" s="77"/>
      <c r="AW31" s="77"/>
      <c r="AX31" s="77"/>
      <c r="AY31" s="77"/>
      <c r="AZ31" s="77"/>
      <c r="BA31" s="77"/>
      <c r="BB31" s="77"/>
      <c r="BC31" s="77"/>
      <c r="BD31" s="77"/>
      <c r="BE31" s="77"/>
      <c r="BF31" s="77"/>
      <c r="BG31" s="78"/>
      <c r="BH31" s="77"/>
      <c r="BI31" s="77"/>
      <c r="BJ31" s="77"/>
      <c r="BK31" s="77"/>
      <c r="BL31" s="79"/>
      <c r="BM31" s="41">
        <v>12284092039.49</v>
      </c>
    </row>
    <row r="32" spans="1:65">
      <c r="A32" s="66"/>
      <c r="B32" s="67" t="s">
        <v>1327</v>
      </c>
      <c r="C32" s="67"/>
      <c r="D32" s="67"/>
      <c r="E32" s="68" t="s">
        <v>1328</v>
      </c>
      <c r="F32" s="36">
        <v>27010602495.200001</v>
      </c>
      <c r="G32" s="34">
        <v>1771595548.3299999</v>
      </c>
      <c r="H32" s="34">
        <v>1771595547.5999999</v>
      </c>
      <c r="I32" s="34">
        <v>0.73</v>
      </c>
      <c r="J32" s="69"/>
      <c r="K32" s="69"/>
      <c r="L32" s="69"/>
      <c r="M32" s="34">
        <v>25222043160.169998</v>
      </c>
      <c r="N32" s="34">
        <v>25217262226.25</v>
      </c>
      <c r="O32" s="69"/>
      <c r="P32" s="34">
        <v>1852756.14</v>
      </c>
      <c r="Q32" s="34">
        <v>2928177.78</v>
      </c>
      <c r="R32" s="34">
        <v>16963786.699999999</v>
      </c>
      <c r="S32" s="70"/>
      <c r="T32" s="69"/>
      <c r="U32" s="69"/>
      <c r="V32" s="70"/>
      <c r="W32" s="69"/>
      <c r="X32" s="69"/>
      <c r="Y32" s="36">
        <v>28657424.07</v>
      </c>
      <c r="Z32" s="34">
        <v>28657424.07</v>
      </c>
      <c r="AA32" s="69"/>
      <c r="AB32" s="69"/>
      <c r="AC32" s="69"/>
      <c r="AD32" s="36">
        <v>22085220851.16</v>
      </c>
      <c r="AE32" s="34">
        <v>22085220851.16</v>
      </c>
      <c r="AF32" s="34">
        <v>22044605018.369999</v>
      </c>
      <c r="AG32" s="34">
        <v>963825.63</v>
      </c>
      <c r="AH32" s="34">
        <v>39652007.159999996</v>
      </c>
      <c r="AI32" s="69"/>
      <c r="AJ32" s="69"/>
      <c r="AK32" s="69"/>
      <c r="AL32" s="36">
        <v>3521879592.6799998</v>
      </c>
      <c r="AM32" s="34">
        <v>45906864</v>
      </c>
      <c r="AN32" s="69"/>
      <c r="AO32" s="69"/>
      <c r="AP32" s="69"/>
      <c r="AQ32" s="69"/>
      <c r="AR32" s="69"/>
      <c r="AS32" s="34">
        <v>45906864</v>
      </c>
      <c r="AT32" s="69"/>
      <c r="AU32" s="69"/>
      <c r="AV32" s="69"/>
      <c r="AW32" s="69"/>
      <c r="AX32" s="34">
        <v>3472759248.1999998</v>
      </c>
      <c r="AY32" s="34">
        <v>3213480.48</v>
      </c>
      <c r="AZ32" s="34">
        <v>3213480.48</v>
      </c>
      <c r="BA32" s="69"/>
      <c r="BB32" s="69"/>
      <c r="BC32" s="69"/>
      <c r="BD32" s="69"/>
      <c r="BE32" s="69"/>
      <c r="BF32" s="69"/>
      <c r="BG32" s="70"/>
      <c r="BH32" s="69"/>
      <c r="BI32" s="69"/>
      <c r="BJ32" s="69"/>
      <c r="BK32" s="69"/>
      <c r="BL32" s="71"/>
      <c r="BM32" s="91">
        <v>52646360363.110001</v>
      </c>
    </row>
    <row r="33" spans="1:65">
      <c r="A33" s="59" t="s">
        <v>1329</v>
      </c>
      <c r="B33" s="60"/>
      <c r="C33" s="60"/>
      <c r="D33" s="60"/>
      <c r="E33" s="61" t="s">
        <v>1330</v>
      </c>
      <c r="F33" s="33">
        <v>514134200.39999998</v>
      </c>
      <c r="G33" s="62">
        <v>97216959.549999997</v>
      </c>
      <c r="H33" s="62">
        <v>97216959.549999997</v>
      </c>
      <c r="I33" s="63"/>
      <c r="J33" s="63"/>
      <c r="K33" s="63"/>
      <c r="L33" s="63"/>
      <c r="M33" s="62">
        <v>416917240.85000002</v>
      </c>
      <c r="N33" s="62">
        <v>416917240.85000002</v>
      </c>
      <c r="O33" s="63"/>
      <c r="P33" s="63"/>
      <c r="Q33" s="63"/>
      <c r="R33" s="63"/>
      <c r="S33" s="64"/>
      <c r="T33" s="63"/>
      <c r="U33" s="63"/>
      <c r="V33" s="64"/>
      <c r="W33" s="63"/>
      <c r="X33" s="63"/>
      <c r="Y33" s="64"/>
      <c r="Z33" s="63"/>
      <c r="AA33" s="63"/>
      <c r="AB33" s="63"/>
      <c r="AC33" s="63"/>
      <c r="AD33" s="33">
        <v>543312301.13</v>
      </c>
      <c r="AE33" s="62">
        <v>543312301.13</v>
      </c>
      <c r="AF33" s="62">
        <v>540901274.28999996</v>
      </c>
      <c r="AG33" s="62">
        <v>2411026.83</v>
      </c>
      <c r="AH33" s="63"/>
      <c r="AI33" s="63"/>
      <c r="AJ33" s="63"/>
      <c r="AK33" s="63"/>
      <c r="AL33" s="33">
        <v>1870247752.3299999</v>
      </c>
      <c r="AM33" s="62">
        <v>1870247752.3299999</v>
      </c>
      <c r="AN33" s="63"/>
      <c r="AO33" s="63"/>
      <c r="AP33" s="63"/>
      <c r="AQ33" s="62">
        <v>1870247752.3299999</v>
      </c>
      <c r="AR33" s="63"/>
      <c r="AS33" s="63"/>
      <c r="AT33" s="63"/>
      <c r="AU33" s="63"/>
      <c r="AV33" s="63"/>
      <c r="AW33" s="63"/>
      <c r="AX33" s="63"/>
      <c r="AY33" s="63"/>
      <c r="AZ33" s="63"/>
      <c r="BA33" s="63"/>
      <c r="BB33" s="63"/>
      <c r="BC33" s="63"/>
      <c r="BD33" s="63"/>
      <c r="BE33" s="63"/>
      <c r="BF33" s="63"/>
      <c r="BG33" s="64"/>
      <c r="BH33" s="63"/>
      <c r="BI33" s="63"/>
      <c r="BJ33" s="63"/>
      <c r="BK33" s="63"/>
      <c r="BL33" s="65"/>
      <c r="BM33" s="92">
        <v>2927694253.8499999</v>
      </c>
    </row>
    <row r="34" spans="1:65">
      <c r="A34" s="81" t="s">
        <v>1331</v>
      </c>
      <c r="B34" s="82"/>
      <c r="C34" s="82"/>
      <c r="D34" s="82"/>
      <c r="E34" s="83" t="s">
        <v>1332</v>
      </c>
      <c r="F34" s="84">
        <v>92282266214.300003</v>
      </c>
      <c r="G34" s="85">
        <v>17193210108.459999</v>
      </c>
      <c r="H34" s="85">
        <v>15485072320.459999</v>
      </c>
      <c r="I34" s="85">
        <v>1107133589</v>
      </c>
      <c r="J34" s="85">
        <v>601004199</v>
      </c>
      <c r="K34" s="85">
        <v>5233190.2</v>
      </c>
      <c r="L34" s="85">
        <v>5233190.2</v>
      </c>
      <c r="M34" s="85">
        <v>73733257966.059998</v>
      </c>
      <c r="N34" s="85">
        <v>59310384207.110001</v>
      </c>
      <c r="O34" s="85">
        <v>3734212289.5100002</v>
      </c>
      <c r="P34" s="85">
        <v>10688661469.450001</v>
      </c>
      <c r="Q34" s="86"/>
      <c r="R34" s="85">
        <v>1350564949.5799999</v>
      </c>
      <c r="S34" s="84">
        <v>29452789</v>
      </c>
      <c r="T34" s="85">
        <v>32</v>
      </c>
      <c r="U34" s="85">
        <v>29452757</v>
      </c>
      <c r="V34" s="84">
        <v>64</v>
      </c>
      <c r="W34" s="85">
        <v>32</v>
      </c>
      <c r="X34" s="85">
        <v>32</v>
      </c>
      <c r="Y34" s="84">
        <v>2575089958.8699999</v>
      </c>
      <c r="Z34" s="86"/>
      <c r="AA34" s="85">
        <v>2575089958.8699999</v>
      </c>
      <c r="AB34" s="85">
        <v>2575089958.8699999</v>
      </c>
      <c r="AC34" s="86"/>
      <c r="AD34" s="84">
        <v>73094227198.600006</v>
      </c>
      <c r="AE34" s="85">
        <v>73094227198.600006</v>
      </c>
      <c r="AF34" s="85">
        <v>73076079827.490005</v>
      </c>
      <c r="AG34" s="85">
        <v>18147371.109999999</v>
      </c>
      <c r="AH34" s="86"/>
      <c r="AI34" s="86"/>
      <c r="AJ34" s="86"/>
      <c r="AK34" s="86"/>
      <c r="AL34" s="84">
        <v>873272382.79999995</v>
      </c>
      <c r="AM34" s="85">
        <v>425458024</v>
      </c>
      <c r="AN34" s="85">
        <v>153971401</v>
      </c>
      <c r="AO34" s="85">
        <v>137613396</v>
      </c>
      <c r="AP34" s="85">
        <v>16358005</v>
      </c>
      <c r="AQ34" s="86"/>
      <c r="AR34" s="85">
        <v>67156787</v>
      </c>
      <c r="AS34" s="85">
        <v>204329836</v>
      </c>
      <c r="AT34" s="86"/>
      <c r="AU34" s="86"/>
      <c r="AV34" s="86"/>
      <c r="AW34" s="85">
        <v>48224272.799999997</v>
      </c>
      <c r="AX34" s="86"/>
      <c r="AY34" s="85">
        <v>399590086</v>
      </c>
      <c r="AZ34" s="86"/>
      <c r="BA34" s="86"/>
      <c r="BB34" s="86"/>
      <c r="BC34" s="86"/>
      <c r="BD34" s="85">
        <v>399590086</v>
      </c>
      <c r="BE34" s="86"/>
      <c r="BF34" s="86"/>
      <c r="BG34" s="87"/>
      <c r="BH34" s="86"/>
      <c r="BI34" s="86"/>
      <c r="BJ34" s="86"/>
      <c r="BK34" s="86"/>
      <c r="BL34" s="88"/>
      <c r="BM34" s="89">
        <v>168854308607.56</v>
      </c>
    </row>
    <row r="35" spans="1:65">
      <c r="A35" s="73"/>
      <c r="B35" s="74" t="s">
        <v>1333</v>
      </c>
      <c r="C35" s="74"/>
      <c r="D35" s="74"/>
      <c r="E35" s="75" t="s">
        <v>1334</v>
      </c>
      <c r="F35" s="35">
        <v>850893098.35000002</v>
      </c>
      <c r="G35" s="76">
        <v>271553287.52999997</v>
      </c>
      <c r="H35" s="76">
        <v>271553287.52999997</v>
      </c>
      <c r="I35" s="77"/>
      <c r="J35" s="77"/>
      <c r="K35" s="77"/>
      <c r="L35" s="77"/>
      <c r="M35" s="76">
        <v>573360532.13999999</v>
      </c>
      <c r="N35" s="76">
        <v>573360532.13999999</v>
      </c>
      <c r="O35" s="77"/>
      <c r="P35" s="77"/>
      <c r="Q35" s="77"/>
      <c r="R35" s="76">
        <v>5979278.6699999999</v>
      </c>
      <c r="S35" s="78"/>
      <c r="T35" s="77"/>
      <c r="U35" s="77"/>
      <c r="V35" s="78"/>
      <c r="W35" s="77"/>
      <c r="X35" s="77"/>
      <c r="Y35" s="78"/>
      <c r="Z35" s="77"/>
      <c r="AA35" s="77"/>
      <c r="AB35" s="77"/>
      <c r="AC35" s="77"/>
      <c r="AD35" s="35">
        <v>763838810.33000004</v>
      </c>
      <c r="AE35" s="76">
        <v>763838810.33000004</v>
      </c>
      <c r="AF35" s="76">
        <v>762031486.80999994</v>
      </c>
      <c r="AG35" s="76">
        <v>1807323.52</v>
      </c>
      <c r="AH35" s="77"/>
      <c r="AI35" s="77"/>
      <c r="AJ35" s="77"/>
      <c r="AK35" s="77"/>
      <c r="AL35" s="35">
        <v>402022500.80000001</v>
      </c>
      <c r="AM35" s="77"/>
      <c r="AN35" s="77"/>
      <c r="AO35" s="77"/>
      <c r="AP35" s="77"/>
      <c r="AQ35" s="77"/>
      <c r="AR35" s="77"/>
      <c r="AS35" s="77"/>
      <c r="AT35" s="77"/>
      <c r="AU35" s="77"/>
      <c r="AV35" s="77"/>
      <c r="AW35" s="76">
        <v>48224272.799999997</v>
      </c>
      <c r="AX35" s="77"/>
      <c r="AY35" s="76">
        <v>353798228</v>
      </c>
      <c r="AZ35" s="77"/>
      <c r="BA35" s="77"/>
      <c r="BB35" s="77"/>
      <c r="BC35" s="77"/>
      <c r="BD35" s="76">
        <v>353798228</v>
      </c>
      <c r="BE35" s="77"/>
      <c r="BF35" s="77"/>
      <c r="BG35" s="78"/>
      <c r="BH35" s="77"/>
      <c r="BI35" s="77"/>
      <c r="BJ35" s="77"/>
      <c r="BK35" s="77"/>
      <c r="BL35" s="79"/>
      <c r="BM35" s="90">
        <v>2016754409.49</v>
      </c>
    </row>
    <row r="36" spans="1:65">
      <c r="A36" s="66"/>
      <c r="B36" s="67" t="s">
        <v>1335</v>
      </c>
      <c r="C36" s="67"/>
      <c r="D36" s="67"/>
      <c r="E36" s="68" t="s">
        <v>1336</v>
      </c>
      <c r="F36" s="36">
        <v>22969361753.779999</v>
      </c>
      <c r="G36" s="34">
        <v>4280612244.8000002</v>
      </c>
      <c r="H36" s="34">
        <v>4280612244.8000002</v>
      </c>
      <c r="I36" s="69"/>
      <c r="J36" s="69"/>
      <c r="K36" s="69"/>
      <c r="L36" s="69"/>
      <c r="M36" s="34">
        <v>18684498305.639999</v>
      </c>
      <c r="N36" s="34">
        <v>18684498305.639999</v>
      </c>
      <c r="O36" s="69"/>
      <c r="P36" s="69"/>
      <c r="Q36" s="69"/>
      <c r="R36" s="34">
        <v>4251203.33</v>
      </c>
      <c r="S36" s="70"/>
      <c r="T36" s="69"/>
      <c r="U36" s="69"/>
      <c r="V36" s="70"/>
      <c r="W36" s="69"/>
      <c r="X36" s="69"/>
      <c r="Y36" s="70"/>
      <c r="Z36" s="69"/>
      <c r="AA36" s="69"/>
      <c r="AB36" s="69"/>
      <c r="AC36" s="69"/>
      <c r="AD36" s="36">
        <v>13122694717.370001</v>
      </c>
      <c r="AE36" s="34">
        <v>13122694717.370001</v>
      </c>
      <c r="AF36" s="34">
        <v>13120776186.93</v>
      </c>
      <c r="AG36" s="34">
        <v>1918530.44</v>
      </c>
      <c r="AH36" s="69"/>
      <c r="AI36" s="69"/>
      <c r="AJ36" s="69"/>
      <c r="AK36" s="69"/>
      <c r="AL36" s="36">
        <v>45791858</v>
      </c>
      <c r="AM36" s="69"/>
      <c r="AN36" s="69"/>
      <c r="AO36" s="69"/>
      <c r="AP36" s="69"/>
      <c r="AQ36" s="69"/>
      <c r="AR36" s="69"/>
      <c r="AS36" s="69"/>
      <c r="AT36" s="69"/>
      <c r="AU36" s="69"/>
      <c r="AV36" s="69"/>
      <c r="AW36" s="69"/>
      <c r="AX36" s="69"/>
      <c r="AY36" s="34">
        <v>45791858</v>
      </c>
      <c r="AZ36" s="69"/>
      <c r="BA36" s="69"/>
      <c r="BB36" s="69"/>
      <c r="BC36" s="69"/>
      <c r="BD36" s="34">
        <v>45791858</v>
      </c>
      <c r="BE36" s="69"/>
      <c r="BF36" s="69"/>
      <c r="BG36" s="70"/>
      <c r="BH36" s="69"/>
      <c r="BI36" s="69"/>
      <c r="BJ36" s="69"/>
      <c r="BK36" s="69"/>
      <c r="BL36" s="71"/>
      <c r="BM36" s="37">
        <v>36137848329.150002</v>
      </c>
    </row>
    <row r="37" spans="1:65">
      <c r="A37" s="73"/>
      <c r="B37" s="74"/>
      <c r="C37" s="74" t="s">
        <v>1337</v>
      </c>
      <c r="D37" s="74"/>
      <c r="E37" s="75" t="s">
        <v>1338</v>
      </c>
      <c r="F37" s="35">
        <v>19075331568.189999</v>
      </c>
      <c r="G37" s="76">
        <v>3708248136.8499999</v>
      </c>
      <c r="H37" s="76">
        <v>3708248136.8499999</v>
      </c>
      <c r="I37" s="77"/>
      <c r="J37" s="77"/>
      <c r="K37" s="77"/>
      <c r="L37" s="77"/>
      <c r="M37" s="76">
        <v>15365452060.42</v>
      </c>
      <c r="N37" s="76">
        <v>15365452060.42</v>
      </c>
      <c r="O37" s="77"/>
      <c r="P37" s="77"/>
      <c r="Q37" s="77"/>
      <c r="R37" s="76">
        <v>1631370.92</v>
      </c>
      <c r="S37" s="78"/>
      <c r="T37" s="77"/>
      <c r="U37" s="77"/>
      <c r="V37" s="78"/>
      <c r="W37" s="77"/>
      <c r="X37" s="77"/>
      <c r="Y37" s="78"/>
      <c r="Z37" s="77"/>
      <c r="AA37" s="77"/>
      <c r="AB37" s="77"/>
      <c r="AC37" s="77"/>
      <c r="AD37" s="35">
        <v>9349941183.8700008</v>
      </c>
      <c r="AE37" s="76">
        <v>9349941183.8700008</v>
      </c>
      <c r="AF37" s="76">
        <v>9348022653.4300003</v>
      </c>
      <c r="AG37" s="76">
        <v>1918530.44</v>
      </c>
      <c r="AH37" s="77"/>
      <c r="AI37" s="77"/>
      <c r="AJ37" s="77"/>
      <c r="AK37" s="77"/>
      <c r="AL37" s="35">
        <v>45791858</v>
      </c>
      <c r="AM37" s="77"/>
      <c r="AN37" s="77"/>
      <c r="AO37" s="77"/>
      <c r="AP37" s="77"/>
      <c r="AQ37" s="77"/>
      <c r="AR37" s="77"/>
      <c r="AS37" s="77"/>
      <c r="AT37" s="77"/>
      <c r="AU37" s="77"/>
      <c r="AV37" s="77"/>
      <c r="AW37" s="77"/>
      <c r="AX37" s="77"/>
      <c r="AY37" s="76">
        <v>45791858</v>
      </c>
      <c r="AZ37" s="77"/>
      <c r="BA37" s="77"/>
      <c r="BB37" s="77"/>
      <c r="BC37" s="77"/>
      <c r="BD37" s="76">
        <v>45791858</v>
      </c>
      <c r="BE37" s="77"/>
      <c r="BF37" s="77"/>
      <c r="BG37" s="78"/>
      <c r="BH37" s="77"/>
      <c r="BI37" s="77"/>
      <c r="BJ37" s="77"/>
      <c r="BK37" s="77"/>
      <c r="BL37" s="79"/>
      <c r="BM37" s="41">
        <v>28471064610.060001</v>
      </c>
    </row>
    <row r="38" spans="1:65">
      <c r="A38" s="66"/>
      <c r="B38" s="67"/>
      <c r="C38" s="67" t="s">
        <v>1339</v>
      </c>
      <c r="D38" s="67"/>
      <c r="E38" s="68" t="s">
        <v>1340</v>
      </c>
      <c r="F38" s="36">
        <v>3894030185.5900002</v>
      </c>
      <c r="G38" s="34">
        <v>572364107.95000005</v>
      </c>
      <c r="H38" s="34">
        <v>572364107.95000005</v>
      </c>
      <c r="I38" s="69"/>
      <c r="J38" s="69"/>
      <c r="K38" s="69"/>
      <c r="L38" s="69"/>
      <c r="M38" s="34">
        <v>3319046245.2199998</v>
      </c>
      <c r="N38" s="34">
        <v>3319046245.2199998</v>
      </c>
      <c r="O38" s="69"/>
      <c r="P38" s="69"/>
      <c r="Q38" s="69"/>
      <c r="R38" s="34">
        <v>2619832.41</v>
      </c>
      <c r="S38" s="70"/>
      <c r="T38" s="69"/>
      <c r="U38" s="69"/>
      <c r="V38" s="70"/>
      <c r="W38" s="69"/>
      <c r="X38" s="69"/>
      <c r="Y38" s="70"/>
      <c r="Z38" s="69"/>
      <c r="AA38" s="69"/>
      <c r="AB38" s="69"/>
      <c r="AC38" s="69"/>
      <c r="AD38" s="36">
        <v>3772753533.5</v>
      </c>
      <c r="AE38" s="34">
        <v>3772753533.5</v>
      </c>
      <c r="AF38" s="34">
        <v>3772753533.5</v>
      </c>
      <c r="AG38" s="69"/>
      <c r="AH38" s="69"/>
      <c r="AI38" s="69"/>
      <c r="AJ38" s="69"/>
      <c r="AK38" s="69"/>
      <c r="AL38" s="70"/>
      <c r="AM38" s="69"/>
      <c r="AN38" s="69"/>
      <c r="AO38" s="69"/>
      <c r="AP38" s="69"/>
      <c r="AQ38" s="69"/>
      <c r="AR38" s="69"/>
      <c r="AS38" s="69"/>
      <c r="AT38" s="69"/>
      <c r="AU38" s="69"/>
      <c r="AV38" s="69"/>
      <c r="AW38" s="69"/>
      <c r="AX38" s="69"/>
      <c r="AY38" s="69"/>
      <c r="AZ38" s="69"/>
      <c r="BA38" s="69"/>
      <c r="BB38" s="69"/>
      <c r="BC38" s="69"/>
      <c r="BD38" s="69"/>
      <c r="BE38" s="69"/>
      <c r="BF38" s="69"/>
      <c r="BG38" s="70"/>
      <c r="BH38" s="69"/>
      <c r="BI38" s="69"/>
      <c r="BJ38" s="69"/>
      <c r="BK38" s="69"/>
      <c r="BL38" s="71"/>
      <c r="BM38" s="37">
        <v>7666783719.0799999</v>
      </c>
    </row>
    <row r="39" spans="1:65">
      <c r="A39" s="73"/>
      <c r="B39" s="74" t="s">
        <v>1341</v>
      </c>
      <c r="C39" s="74"/>
      <c r="D39" s="74"/>
      <c r="E39" s="75" t="s">
        <v>1342</v>
      </c>
      <c r="F39" s="35">
        <v>25006572125.330002</v>
      </c>
      <c r="G39" s="76">
        <v>2829915627.8600001</v>
      </c>
      <c r="H39" s="76">
        <v>1722782038.8599999</v>
      </c>
      <c r="I39" s="76">
        <v>1107133589</v>
      </c>
      <c r="J39" s="77"/>
      <c r="K39" s="77"/>
      <c r="L39" s="77"/>
      <c r="M39" s="76">
        <v>21295250626.919998</v>
      </c>
      <c r="N39" s="76">
        <v>11905867815.59</v>
      </c>
      <c r="O39" s="77"/>
      <c r="P39" s="76">
        <v>9389382811.3299999</v>
      </c>
      <c r="Q39" s="77"/>
      <c r="R39" s="76">
        <v>881405870.54999995</v>
      </c>
      <c r="S39" s="78"/>
      <c r="T39" s="77"/>
      <c r="U39" s="77"/>
      <c r="V39" s="78"/>
      <c r="W39" s="77"/>
      <c r="X39" s="77"/>
      <c r="Y39" s="78"/>
      <c r="Z39" s="77"/>
      <c r="AA39" s="77"/>
      <c r="AB39" s="77"/>
      <c r="AC39" s="77"/>
      <c r="AD39" s="35">
        <v>22619088814.400002</v>
      </c>
      <c r="AE39" s="76">
        <v>22619088814.400002</v>
      </c>
      <c r="AF39" s="76">
        <v>22615315074.84</v>
      </c>
      <c r="AG39" s="76">
        <v>3773739.56</v>
      </c>
      <c r="AH39" s="77"/>
      <c r="AI39" s="77"/>
      <c r="AJ39" s="77"/>
      <c r="AK39" s="77"/>
      <c r="AL39" s="35">
        <v>67156787</v>
      </c>
      <c r="AM39" s="76">
        <v>67156787</v>
      </c>
      <c r="AN39" s="77"/>
      <c r="AO39" s="77"/>
      <c r="AP39" s="77"/>
      <c r="AQ39" s="77"/>
      <c r="AR39" s="76">
        <v>67156787</v>
      </c>
      <c r="AS39" s="77"/>
      <c r="AT39" s="77"/>
      <c r="AU39" s="77"/>
      <c r="AV39" s="77"/>
      <c r="AW39" s="77"/>
      <c r="AX39" s="77"/>
      <c r="AY39" s="77"/>
      <c r="AZ39" s="77"/>
      <c r="BA39" s="77"/>
      <c r="BB39" s="77"/>
      <c r="BC39" s="77"/>
      <c r="BD39" s="77"/>
      <c r="BE39" s="77"/>
      <c r="BF39" s="77"/>
      <c r="BG39" s="78"/>
      <c r="BH39" s="77"/>
      <c r="BI39" s="77"/>
      <c r="BJ39" s="77"/>
      <c r="BK39" s="77"/>
      <c r="BL39" s="79"/>
      <c r="BM39" s="41">
        <v>47692817726.730003</v>
      </c>
    </row>
    <row r="40" spans="1:65">
      <c r="A40" s="66"/>
      <c r="B40" s="67"/>
      <c r="C40" s="67" t="s">
        <v>1343</v>
      </c>
      <c r="D40" s="67"/>
      <c r="E40" s="68" t="s">
        <v>1344</v>
      </c>
      <c r="F40" s="36">
        <v>10749006579.35</v>
      </c>
      <c r="G40" s="34">
        <v>1258499477.4200001</v>
      </c>
      <c r="H40" s="34">
        <v>1258499477.4200001</v>
      </c>
      <c r="I40" s="69"/>
      <c r="J40" s="69"/>
      <c r="K40" s="69"/>
      <c r="L40" s="69"/>
      <c r="M40" s="34">
        <v>9462107188.3099995</v>
      </c>
      <c r="N40" s="34">
        <v>9462107188.3099995</v>
      </c>
      <c r="O40" s="69"/>
      <c r="P40" s="69"/>
      <c r="Q40" s="69"/>
      <c r="R40" s="34">
        <v>28399913.620000001</v>
      </c>
      <c r="S40" s="70"/>
      <c r="T40" s="69"/>
      <c r="U40" s="69"/>
      <c r="V40" s="70"/>
      <c r="W40" s="69"/>
      <c r="X40" s="69"/>
      <c r="Y40" s="70"/>
      <c r="Z40" s="69"/>
      <c r="AA40" s="69"/>
      <c r="AB40" s="69"/>
      <c r="AC40" s="69"/>
      <c r="AD40" s="36">
        <v>15704428503.190001</v>
      </c>
      <c r="AE40" s="34">
        <v>15704428503.190001</v>
      </c>
      <c r="AF40" s="34">
        <v>15700654763.629999</v>
      </c>
      <c r="AG40" s="34">
        <v>3773739.56</v>
      </c>
      <c r="AH40" s="69"/>
      <c r="AI40" s="69"/>
      <c r="AJ40" s="69"/>
      <c r="AK40" s="69"/>
      <c r="AL40" s="70"/>
      <c r="AM40" s="69"/>
      <c r="AN40" s="69"/>
      <c r="AO40" s="69"/>
      <c r="AP40" s="69"/>
      <c r="AQ40" s="69"/>
      <c r="AR40" s="69"/>
      <c r="AS40" s="69"/>
      <c r="AT40" s="69"/>
      <c r="AU40" s="69"/>
      <c r="AV40" s="69"/>
      <c r="AW40" s="69"/>
      <c r="AX40" s="69"/>
      <c r="AY40" s="69"/>
      <c r="AZ40" s="69"/>
      <c r="BA40" s="69"/>
      <c r="BB40" s="69"/>
      <c r="BC40" s="69"/>
      <c r="BD40" s="69"/>
      <c r="BE40" s="69"/>
      <c r="BF40" s="69"/>
      <c r="BG40" s="70"/>
      <c r="BH40" s="69"/>
      <c r="BI40" s="69"/>
      <c r="BJ40" s="69"/>
      <c r="BK40" s="69"/>
      <c r="BL40" s="71"/>
      <c r="BM40" s="37">
        <v>26453435082.540001</v>
      </c>
    </row>
    <row r="41" spans="1:65">
      <c r="A41" s="73"/>
      <c r="B41" s="74"/>
      <c r="C41" s="74" t="s">
        <v>1345</v>
      </c>
      <c r="D41" s="74"/>
      <c r="E41" s="75" t="s">
        <v>1346</v>
      </c>
      <c r="F41" s="35">
        <v>14257565545.98</v>
      </c>
      <c r="G41" s="76">
        <v>1571416150.4400001</v>
      </c>
      <c r="H41" s="76">
        <v>464282561.44</v>
      </c>
      <c r="I41" s="76">
        <v>1107133589</v>
      </c>
      <c r="J41" s="77"/>
      <c r="K41" s="77"/>
      <c r="L41" s="77"/>
      <c r="M41" s="76">
        <v>11833143438.6</v>
      </c>
      <c r="N41" s="76">
        <v>2443760627.27</v>
      </c>
      <c r="O41" s="77"/>
      <c r="P41" s="76">
        <v>9389382811.3299999</v>
      </c>
      <c r="Q41" s="77"/>
      <c r="R41" s="76">
        <v>853005956.92999995</v>
      </c>
      <c r="S41" s="78"/>
      <c r="T41" s="77"/>
      <c r="U41" s="77"/>
      <c r="V41" s="78"/>
      <c r="W41" s="77"/>
      <c r="X41" s="77"/>
      <c r="Y41" s="78"/>
      <c r="Z41" s="77"/>
      <c r="AA41" s="77"/>
      <c r="AB41" s="77"/>
      <c r="AC41" s="77"/>
      <c r="AD41" s="35">
        <v>6914660311.21</v>
      </c>
      <c r="AE41" s="76">
        <v>6914660311.21</v>
      </c>
      <c r="AF41" s="76">
        <v>6914660311.21</v>
      </c>
      <c r="AG41" s="77"/>
      <c r="AH41" s="77"/>
      <c r="AI41" s="77"/>
      <c r="AJ41" s="77"/>
      <c r="AK41" s="77"/>
      <c r="AL41" s="35">
        <v>67156787</v>
      </c>
      <c r="AM41" s="76">
        <v>67156787</v>
      </c>
      <c r="AN41" s="77"/>
      <c r="AO41" s="77"/>
      <c r="AP41" s="77"/>
      <c r="AQ41" s="77"/>
      <c r="AR41" s="76">
        <v>67156787</v>
      </c>
      <c r="AS41" s="77"/>
      <c r="AT41" s="77"/>
      <c r="AU41" s="77"/>
      <c r="AV41" s="77"/>
      <c r="AW41" s="77"/>
      <c r="AX41" s="77"/>
      <c r="AY41" s="77"/>
      <c r="AZ41" s="77"/>
      <c r="BA41" s="77"/>
      <c r="BB41" s="77"/>
      <c r="BC41" s="77"/>
      <c r="BD41" s="77"/>
      <c r="BE41" s="77"/>
      <c r="BF41" s="77"/>
      <c r="BG41" s="78"/>
      <c r="BH41" s="77"/>
      <c r="BI41" s="77"/>
      <c r="BJ41" s="77"/>
      <c r="BK41" s="77"/>
      <c r="BL41" s="79"/>
      <c r="BM41" s="38">
        <v>21239382644.189999</v>
      </c>
    </row>
    <row r="42" spans="1:65">
      <c r="A42" s="66"/>
      <c r="B42" s="67" t="s">
        <v>1347</v>
      </c>
      <c r="C42" s="67"/>
      <c r="D42" s="67"/>
      <c r="E42" s="68" t="s">
        <v>1348</v>
      </c>
      <c r="F42" s="36">
        <v>2231789262.3299999</v>
      </c>
      <c r="G42" s="34">
        <v>739841248.28999996</v>
      </c>
      <c r="H42" s="34">
        <v>739841248.28999996</v>
      </c>
      <c r="I42" s="69"/>
      <c r="J42" s="69"/>
      <c r="K42" s="34">
        <v>5233190.2</v>
      </c>
      <c r="L42" s="34">
        <v>5233190.2</v>
      </c>
      <c r="M42" s="34">
        <v>1484259452.4300001</v>
      </c>
      <c r="N42" s="34">
        <v>1014973009.6900001</v>
      </c>
      <c r="O42" s="69"/>
      <c r="P42" s="34">
        <v>469286442.74000001</v>
      </c>
      <c r="Q42" s="69"/>
      <c r="R42" s="34">
        <v>2455371.42</v>
      </c>
      <c r="S42" s="36">
        <v>32</v>
      </c>
      <c r="T42" s="34">
        <v>32</v>
      </c>
      <c r="U42" s="69"/>
      <c r="V42" s="36">
        <v>32</v>
      </c>
      <c r="W42" s="34">
        <v>32</v>
      </c>
      <c r="X42" s="69"/>
      <c r="Y42" s="70"/>
      <c r="Z42" s="69"/>
      <c r="AA42" s="69"/>
      <c r="AB42" s="69"/>
      <c r="AC42" s="69"/>
      <c r="AD42" s="36">
        <v>5382901861.4200001</v>
      </c>
      <c r="AE42" s="34">
        <v>5382901861.4200001</v>
      </c>
      <c r="AF42" s="34">
        <v>5382901861.4200001</v>
      </c>
      <c r="AG42" s="69"/>
      <c r="AH42" s="69"/>
      <c r="AI42" s="69"/>
      <c r="AJ42" s="69"/>
      <c r="AK42" s="69"/>
      <c r="AL42" s="36">
        <v>99365029</v>
      </c>
      <c r="AM42" s="34">
        <v>99365029</v>
      </c>
      <c r="AN42" s="34">
        <v>16358005</v>
      </c>
      <c r="AO42" s="69"/>
      <c r="AP42" s="34">
        <v>16358005</v>
      </c>
      <c r="AQ42" s="69"/>
      <c r="AR42" s="69"/>
      <c r="AS42" s="34">
        <v>83007024</v>
      </c>
      <c r="AT42" s="69"/>
      <c r="AU42" s="69"/>
      <c r="AV42" s="69"/>
      <c r="AW42" s="69"/>
      <c r="AX42" s="69"/>
      <c r="AY42" s="69"/>
      <c r="AZ42" s="69"/>
      <c r="BA42" s="69"/>
      <c r="BB42" s="69"/>
      <c r="BC42" s="69"/>
      <c r="BD42" s="69"/>
      <c r="BE42" s="69"/>
      <c r="BF42" s="69"/>
      <c r="BG42" s="70"/>
      <c r="BH42" s="69"/>
      <c r="BI42" s="69"/>
      <c r="BJ42" s="69"/>
      <c r="BK42" s="69"/>
      <c r="BL42" s="71"/>
      <c r="BM42" s="39">
        <v>7714056216.75</v>
      </c>
    </row>
    <row r="43" spans="1:65">
      <c r="A43" s="73"/>
      <c r="B43" s="74"/>
      <c r="C43" s="74" t="s">
        <v>1349</v>
      </c>
      <c r="D43" s="74"/>
      <c r="E43" s="75" t="s">
        <v>1350</v>
      </c>
      <c r="F43" s="35">
        <v>616137030.23000002</v>
      </c>
      <c r="G43" s="76">
        <v>65244816.380000003</v>
      </c>
      <c r="H43" s="76">
        <v>65244816.380000003</v>
      </c>
      <c r="I43" s="77"/>
      <c r="J43" s="77"/>
      <c r="K43" s="76">
        <v>5233190.2</v>
      </c>
      <c r="L43" s="76">
        <v>5233190.2</v>
      </c>
      <c r="M43" s="76">
        <v>545467097.65999997</v>
      </c>
      <c r="N43" s="76">
        <v>76180654.920000002</v>
      </c>
      <c r="O43" s="77"/>
      <c r="P43" s="76">
        <v>469286442.74000001</v>
      </c>
      <c r="Q43" s="77"/>
      <c r="R43" s="76">
        <v>191925.99</v>
      </c>
      <c r="S43" s="78"/>
      <c r="T43" s="77"/>
      <c r="U43" s="77"/>
      <c r="V43" s="78"/>
      <c r="W43" s="77"/>
      <c r="X43" s="77"/>
      <c r="Y43" s="78"/>
      <c r="Z43" s="77"/>
      <c r="AA43" s="77"/>
      <c r="AB43" s="77"/>
      <c r="AC43" s="77"/>
      <c r="AD43" s="35">
        <v>578010176.15999997</v>
      </c>
      <c r="AE43" s="76">
        <v>578010176.15999997</v>
      </c>
      <c r="AF43" s="76">
        <v>578010176.15999997</v>
      </c>
      <c r="AG43" s="77"/>
      <c r="AH43" s="77"/>
      <c r="AI43" s="77"/>
      <c r="AJ43" s="77"/>
      <c r="AK43" s="77"/>
      <c r="AL43" s="35">
        <v>16358005</v>
      </c>
      <c r="AM43" s="76">
        <v>16358005</v>
      </c>
      <c r="AN43" s="76">
        <v>16358005</v>
      </c>
      <c r="AO43" s="77"/>
      <c r="AP43" s="76">
        <v>16358005</v>
      </c>
      <c r="AQ43" s="77"/>
      <c r="AR43" s="77"/>
      <c r="AS43" s="77"/>
      <c r="AT43" s="77"/>
      <c r="AU43" s="77"/>
      <c r="AV43" s="77"/>
      <c r="AW43" s="77"/>
      <c r="AX43" s="77"/>
      <c r="AY43" s="77"/>
      <c r="AZ43" s="77"/>
      <c r="BA43" s="77"/>
      <c r="BB43" s="77"/>
      <c r="BC43" s="77"/>
      <c r="BD43" s="77"/>
      <c r="BE43" s="77"/>
      <c r="BF43" s="77"/>
      <c r="BG43" s="78"/>
      <c r="BH43" s="77"/>
      <c r="BI43" s="77"/>
      <c r="BJ43" s="77"/>
      <c r="BK43" s="77"/>
      <c r="BL43" s="79"/>
      <c r="BM43" s="38">
        <v>1210505211.3800001</v>
      </c>
    </row>
    <row r="44" spans="1:65">
      <c r="A44" s="66"/>
      <c r="B44" s="67"/>
      <c r="C44" s="67" t="s">
        <v>1351</v>
      </c>
      <c r="D44" s="67"/>
      <c r="E44" s="68" t="s">
        <v>1352</v>
      </c>
      <c r="F44" s="36">
        <v>351322042.66000003</v>
      </c>
      <c r="G44" s="34">
        <v>118809094.73</v>
      </c>
      <c r="H44" s="34">
        <v>118809094.73</v>
      </c>
      <c r="I44" s="69"/>
      <c r="J44" s="69"/>
      <c r="K44" s="69"/>
      <c r="L44" s="69"/>
      <c r="M44" s="34">
        <v>232135671.72</v>
      </c>
      <c r="N44" s="34">
        <v>232135671.72</v>
      </c>
      <c r="O44" s="69"/>
      <c r="P44" s="69"/>
      <c r="Q44" s="69"/>
      <c r="R44" s="34">
        <v>377276.21</v>
      </c>
      <c r="S44" s="70"/>
      <c r="T44" s="69"/>
      <c r="U44" s="69"/>
      <c r="V44" s="70"/>
      <c r="W44" s="69"/>
      <c r="X44" s="69"/>
      <c r="Y44" s="70"/>
      <c r="Z44" s="69"/>
      <c r="AA44" s="69"/>
      <c r="AB44" s="69"/>
      <c r="AC44" s="69"/>
      <c r="AD44" s="36">
        <v>608186883.52999997</v>
      </c>
      <c r="AE44" s="34">
        <v>608186883.52999997</v>
      </c>
      <c r="AF44" s="34">
        <v>608186883.52999997</v>
      </c>
      <c r="AG44" s="69"/>
      <c r="AH44" s="69"/>
      <c r="AI44" s="69"/>
      <c r="AJ44" s="69"/>
      <c r="AK44" s="69"/>
      <c r="AL44" s="70"/>
      <c r="AM44" s="69"/>
      <c r="AN44" s="69"/>
      <c r="AO44" s="69"/>
      <c r="AP44" s="69"/>
      <c r="AQ44" s="69"/>
      <c r="AR44" s="69"/>
      <c r="AS44" s="69"/>
      <c r="AT44" s="69"/>
      <c r="AU44" s="69"/>
      <c r="AV44" s="69"/>
      <c r="AW44" s="69"/>
      <c r="AX44" s="69"/>
      <c r="AY44" s="69"/>
      <c r="AZ44" s="69"/>
      <c r="BA44" s="69"/>
      <c r="BB44" s="69"/>
      <c r="BC44" s="69"/>
      <c r="BD44" s="69"/>
      <c r="BE44" s="69"/>
      <c r="BF44" s="69"/>
      <c r="BG44" s="70"/>
      <c r="BH44" s="69"/>
      <c r="BI44" s="69"/>
      <c r="BJ44" s="69"/>
      <c r="BK44" s="69"/>
      <c r="BL44" s="71"/>
      <c r="BM44" s="37">
        <v>959508926.17999995</v>
      </c>
    </row>
    <row r="45" spans="1:65">
      <c r="A45" s="73"/>
      <c r="B45" s="74"/>
      <c r="C45" s="74" t="s">
        <v>1353</v>
      </c>
      <c r="D45" s="74"/>
      <c r="E45" s="75" t="s">
        <v>1354</v>
      </c>
      <c r="F45" s="35">
        <v>1264330189.45</v>
      </c>
      <c r="G45" s="76">
        <v>555787337.17999995</v>
      </c>
      <c r="H45" s="76">
        <v>555787337.17999995</v>
      </c>
      <c r="I45" s="77"/>
      <c r="J45" s="77"/>
      <c r="K45" s="77"/>
      <c r="L45" s="77"/>
      <c r="M45" s="76">
        <v>706656683.04999995</v>
      </c>
      <c r="N45" s="76">
        <v>706656683.04999995</v>
      </c>
      <c r="O45" s="77"/>
      <c r="P45" s="77"/>
      <c r="Q45" s="77"/>
      <c r="R45" s="76">
        <v>1886169.22</v>
      </c>
      <c r="S45" s="78"/>
      <c r="T45" s="77"/>
      <c r="U45" s="77"/>
      <c r="V45" s="78"/>
      <c r="W45" s="77"/>
      <c r="X45" s="77"/>
      <c r="Y45" s="78"/>
      <c r="Z45" s="77"/>
      <c r="AA45" s="77"/>
      <c r="AB45" s="77"/>
      <c r="AC45" s="77"/>
      <c r="AD45" s="35">
        <v>4196704801.7399998</v>
      </c>
      <c r="AE45" s="76">
        <v>4196704801.7399998</v>
      </c>
      <c r="AF45" s="76">
        <v>4196704801.7399998</v>
      </c>
      <c r="AG45" s="77"/>
      <c r="AH45" s="77"/>
      <c r="AI45" s="77"/>
      <c r="AJ45" s="77"/>
      <c r="AK45" s="77"/>
      <c r="AL45" s="78"/>
      <c r="AM45" s="77"/>
      <c r="AN45" s="77"/>
      <c r="AO45" s="77"/>
      <c r="AP45" s="77"/>
      <c r="AQ45" s="77"/>
      <c r="AR45" s="77"/>
      <c r="AS45" s="77"/>
      <c r="AT45" s="77"/>
      <c r="AU45" s="77"/>
      <c r="AV45" s="77"/>
      <c r="AW45" s="77"/>
      <c r="AX45" s="77"/>
      <c r="AY45" s="77"/>
      <c r="AZ45" s="77"/>
      <c r="BA45" s="77"/>
      <c r="BB45" s="77"/>
      <c r="BC45" s="77"/>
      <c r="BD45" s="77"/>
      <c r="BE45" s="77"/>
      <c r="BF45" s="77"/>
      <c r="BG45" s="78"/>
      <c r="BH45" s="77"/>
      <c r="BI45" s="77"/>
      <c r="BJ45" s="77"/>
      <c r="BK45" s="77"/>
      <c r="BL45" s="79"/>
      <c r="BM45" s="38">
        <v>5461034991.1800003</v>
      </c>
    </row>
    <row r="46" spans="1:65">
      <c r="A46" s="66"/>
      <c r="B46" s="67"/>
      <c r="C46" s="67" t="s">
        <v>1355</v>
      </c>
      <c r="D46" s="67"/>
      <c r="E46" s="68" t="s">
        <v>1356</v>
      </c>
      <c r="F46" s="70"/>
      <c r="G46" s="69"/>
      <c r="H46" s="69"/>
      <c r="I46" s="69"/>
      <c r="J46" s="69"/>
      <c r="K46" s="69"/>
      <c r="L46" s="69"/>
      <c r="M46" s="69"/>
      <c r="N46" s="69"/>
      <c r="O46" s="69"/>
      <c r="P46" s="69"/>
      <c r="Q46" s="69"/>
      <c r="R46" s="69"/>
      <c r="S46" s="36">
        <v>32</v>
      </c>
      <c r="T46" s="34">
        <v>32</v>
      </c>
      <c r="U46" s="69"/>
      <c r="V46" s="36">
        <v>32</v>
      </c>
      <c r="W46" s="34">
        <v>32</v>
      </c>
      <c r="X46" s="69"/>
      <c r="Y46" s="70"/>
      <c r="Z46" s="69"/>
      <c r="AA46" s="69"/>
      <c r="AB46" s="69"/>
      <c r="AC46" s="69"/>
      <c r="AD46" s="70"/>
      <c r="AE46" s="69"/>
      <c r="AF46" s="69"/>
      <c r="AG46" s="69"/>
      <c r="AH46" s="69"/>
      <c r="AI46" s="69"/>
      <c r="AJ46" s="69"/>
      <c r="AK46" s="69"/>
      <c r="AL46" s="36">
        <v>83007024</v>
      </c>
      <c r="AM46" s="34">
        <v>83007024</v>
      </c>
      <c r="AN46" s="69"/>
      <c r="AO46" s="69"/>
      <c r="AP46" s="69"/>
      <c r="AQ46" s="69"/>
      <c r="AR46" s="69"/>
      <c r="AS46" s="34">
        <v>83007024</v>
      </c>
      <c r="AT46" s="69"/>
      <c r="AU46" s="69"/>
      <c r="AV46" s="69"/>
      <c r="AW46" s="69"/>
      <c r="AX46" s="69"/>
      <c r="AY46" s="69"/>
      <c r="AZ46" s="69"/>
      <c r="BA46" s="69"/>
      <c r="BB46" s="69"/>
      <c r="BC46" s="69"/>
      <c r="BD46" s="69"/>
      <c r="BE46" s="69"/>
      <c r="BF46" s="69"/>
      <c r="BG46" s="70"/>
      <c r="BH46" s="69"/>
      <c r="BI46" s="69"/>
      <c r="BJ46" s="69"/>
      <c r="BK46" s="69"/>
      <c r="BL46" s="71"/>
      <c r="BM46" s="37">
        <v>83007088</v>
      </c>
    </row>
    <row r="47" spans="1:65">
      <c r="A47" s="73"/>
      <c r="B47" s="74" t="s">
        <v>1357</v>
      </c>
      <c r="C47" s="74"/>
      <c r="D47" s="74"/>
      <c r="E47" s="75" t="s">
        <v>1358</v>
      </c>
      <c r="F47" s="35">
        <v>11120286164.040001</v>
      </c>
      <c r="G47" s="76">
        <v>1493752181.27</v>
      </c>
      <c r="H47" s="76">
        <v>1493752181.27</v>
      </c>
      <c r="I47" s="77"/>
      <c r="J47" s="77"/>
      <c r="K47" s="77"/>
      <c r="L47" s="77"/>
      <c r="M47" s="76">
        <v>9492452539.7099991</v>
      </c>
      <c r="N47" s="76">
        <v>9492452539.7099991</v>
      </c>
      <c r="O47" s="77"/>
      <c r="P47" s="77"/>
      <c r="Q47" s="77"/>
      <c r="R47" s="76">
        <v>134081443.06</v>
      </c>
      <c r="S47" s="78"/>
      <c r="T47" s="77"/>
      <c r="U47" s="77"/>
      <c r="V47" s="78"/>
      <c r="W47" s="77"/>
      <c r="X47" s="77"/>
      <c r="Y47" s="78"/>
      <c r="Z47" s="77"/>
      <c r="AA47" s="77"/>
      <c r="AB47" s="77"/>
      <c r="AC47" s="77"/>
      <c r="AD47" s="35">
        <v>13266939515.18</v>
      </c>
      <c r="AE47" s="76">
        <v>13266939515.18</v>
      </c>
      <c r="AF47" s="76">
        <v>13266939515.18</v>
      </c>
      <c r="AG47" s="77"/>
      <c r="AH47" s="77"/>
      <c r="AI47" s="77"/>
      <c r="AJ47" s="77"/>
      <c r="AK47" s="77"/>
      <c r="AL47" s="35">
        <v>137613396</v>
      </c>
      <c r="AM47" s="76">
        <v>137613396</v>
      </c>
      <c r="AN47" s="76">
        <v>137613396</v>
      </c>
      <c r="AO47" s="76">
        <v>137613396</v>
      </c>
      <c r="AP47" s="77"/>
      <c r="AQ47" s="77"/>
      <c r="AR47" s="77"/>
      <c r="AS47" s="77"/>
      <c r="AT47" s="77"/>
      <c r="AU47" s="77"/>
      <c r="AV47" s="77"/>
      <c r="AW47" s="77"/>
      <c r="AX47" s="77"/>
      <c r="AY47" s="77"/>
      <c r="AZ47" s="77"/>
      <c r="BA47" s="77"/>
      <c r="BB47" s="77"/>
      <c r="BC47" s="77"/>
      <c r="BD47" s="77"/>
      <c r="BE47" s="77"/>
      <c r="BF47" s="77"/>
      <c r="BG47" s="78"/>
      <c r="BH47" s="77"/>
      <c r="BI47" s="77"/>
      <c r="BJ47" s="77"/>
      <c r="BK47" s="77"/>
      <c r="BL47" s="79"/>
      <c r="BM47" s="38">
        <v>24524839075.23</v>
      </c>
    </row>
    <row r="48" spans="1:65">
      <c r="A48" s="66"/>
      <c r="B48" s="67" t="s">
        <v>1359</v>
      </c>
      <c r="C48" s="67"/>
      <c r="D48" s="67"/>
      <c r="E48" s="68" t="s">
        <v>1360</v>
      </c>
      <c r="F48" s="36">
        <v>9988887689.1700001</v>
      </c>
      <c r="G48" s="34">
        <v>1247423008.29</v>
      </c>
      <c r="H48" s="34">
        <v>1247423008.29</v>
      </c>
      <c r="I48" s="69"/>
      <c r="J48" s="69"/>
      <c r="K48" s="69"/>
      <c r="L48" s="69"/>
      <c r="M48" s="34">
        <v>8453822265.2799997</v>
      </c>
      <c r="N48" s="34">
        <v>8453822265.2799997</v>
      </c>
      <c r="O48" s="69"/>
      <c r="P48" s="69"/>
      <c r="Q48" s="69"/>
      <c r="R48" s="34">
        <v>287642415.60000002</v>
      </c>
      <c r="S48" s="70"/>
      <c r="T48" s="69"/>
      <c r="U48" s="69"/>
      <c r="V48" s="70"/>
      <c r="W48" s="69"/>
      <c r="X48" s="69"/>
      <c r="Y48" s="70"/>
      <c r="Z48" s="69"/>
      <c r="AA48" s="69"/>
      <c r="AB48" s="69"/>
      <c r="AC48" s="69"/>
      <c r="AD48" s="36">
        <v>7680942159.5600004</v>
      </c>
      <c r="AE48" s="34">
        <v>7680942159.5600004</v>
      </c>
      <c r="AF48" s="34">
        <v>7675534312.79</v>
      </c>
      <c r="AG48" s="34">
        <v>5407846.7699999996</v>
      </c>
      <c r="AH48" s="69"/>
      <c r="AI48" s="69"/>
      <c r="AJ48" s="69"/>
      <c r="AK48" s="69"/>
      <c r="AL48" s="70"/>
      <c r="AM48" s="69"/>
      <c r="AN48" s="69"/>
      <c r="AO48" s="69"/>
      <c r="AP48" s="69"/>
      <c r="AQ48" s="69"/>
      <c r="AR48" s="69"/>
      <c r="AS48" s="69"/>
      <c r="AT48" s="69"/>
      <c r="AU48" s="69"/>
      <c r="AV48" s="69"/>
      <c r="AW48" s="69"/>
      <c r="AX48" s="69"/>
      <c r="AY48" s="69"/>
      <c r="AZ48" s="69"/>
      <c r="BA48" s="69"/>
      <c r="BB48" s="69"/>
      <c r="BC48" s="69"/>
      <c r="BD48" s="69"/>
      <c r="BE48" s="69"/>
      <c r="BF48" s="69"/>
      <c r="BG48" s="70"/>
      <c r="BH48" s="69"/>
      <c r="BI48" s="69"/>
      <c r="BJ48" s="69"/>
      <c r="BK48" s="69"/>
      <c r="BL48" s="71"/>
      <c r="BM48" s="37">
        <v>17669829848.73</v>
      </c>
    </row>
    <row r="49" spans="1:65">
      <c r="A49" s="73"/>
      <c r="B49" s="74" t="s">
        <v>1361</v>
      </c>
      <c r="C49" s="74"/>
      <c r="D49" s="74"/>
      <c r="E49" s="75" t="s">
        <v>1362</v>
      </c>
      <c r="F49" s="35">
        <v>1616805696.1199999</v>
      </c>
      <c r="G49" s="76">
        <v>48850892.479999997</v>
      </c>
      <c r="H49" s="76">
        <v>48850892.479999997</v>
      </c>
      <c r="I49" s="77"/>
      <c r="J49" s="77"/>
      <c r="K49" s="77"/>
      <c r="L49" s="77"/>
      <c r="M49" s="76">
        <v>1567828780.04</v>
      </c>
      <c r="N49" s="76">
        <v>739817053.65999997</v>
      </c>
      <c r="O49" s="77"/>
      <c r="P49" s="76">
        <v>828011726.37</v>
      </c>
      <c r="Q49" s="77"/>
      <c r="R49" s="76">
        <v>126023.6</v>
      </c>
      <c r="S49" s="78"/>
      <c r="T49" s="77"/>
      <c r="U49" s="77"/>
      <c r="V49" s="78"/>
      <c r="W49" s="77"/>
      <c r="X49" s="77"/>
      <c r="Y49" s="35">
        <v>2575089958.8699999</v>
      </c>
      <c r="Z49" s="77"/>
      <c r="AA49" s="76">
        <v>2575089958.8699999</v>
      </c>
      <c r="AB49" s="76">
        <v>2575089958.8699999</v>
      </c>
      <c r="AC49" s="77"/>
      <c r="AD49" s="35">
        <v>451853080.91000003</v>
      </c>
      <c r="AE49" s="76">
        <v>451853080.91000003</v>
      </c>
      <c r="AF49" s="76">
        <v>451853080.91000003</v>
      </c>
      <c r="AG49" s="77"/>
      <c r="AH49" s="77"/>
      <c r="AI49" s="77"/>
      <c r="AJ49" s="77"/>
      <c r="AK49" s="77"/>
      <c r="AL49" s="78"/>
      <c r="AM49" s="77"/>
      <c r="AN49" s="77"/>
      <c r="AO49" s="77"/>
      <c r="AP49" s="77"/>
      <c r="AQ49" s="77"/>
      <c r="AR49" s="77"/>
      <c r="AS49" s="77"/>
      <c r="AT49" s="77"/>
      <c r="AU49" s="77"/>
      <c r="AV49" s="77"/>
      <c r="AW49" s="77"/>
      <c r="AX49" s="77"/>
      <c r="AY49" s="77"/>
      <c r="AZ49" s="77"/>
      <c r="BA49" s="77"/>
      <c r="BB49" s="77"/>
      <c r="BC49" s="77"/>
      <c r="BD49" s="77"/>
      <c r="BE49" s="77"/>
      <c r="BF49" s="77"/>
      <c r="BG49" s="78"/>
      <c r="BH49" s="77"/>
      <c r="BI49" s="77"/>
      <c r="BJ49" s="77"/>
      <c r="BK49" s="77"/>
      <c r="BL49" s="79"/>
      <c r="BM49" s="38">
        <v>4643748735.8999996</v>
      </c>
    </row>
    <row r="50" spans="1:65">
      <c r="A50" s="66"/>
      <c r="B50" s="67" t="s">
        <v>1363</v>
      </c>
      <c r="C50" s="67"/>
      <c r="D50" s="67"/>
      <c r="E50" s="68" t="s">
        <v>1364</v>
      </c>
      <c r="F50" s="36">
        <v>11318636402.110001</v>
      </c>
      <c r="G50" s="34">
        <v>3501061808.1300001</v>
      </c>
      <c r="H50" s="34">
        <v>3501061808.1300001</v>
      </c>
      <c r="I50" s="69"/>
      <c r="J50" s="69"/>
      <c r="K50" s="69"/>
      <c r="L50" s="69"/>
      <c r="M50" s="34">
        <v>7783472148.1899996</v>
      </c>
      <c r="N50" s="34">
        <v>7783472148.1899996</v>
      </c>
      <c r="O50" s="69"/>
      <c r="P50" s="69"/>
      <c r="Q50" s="69"/>
      <c r="R50" s="34">
        <v>34102445.789999999</v>
      </c>
      <c r="S50" s="36">
        <v>29452757</v>
      </c>
      <c r="T50" s="69"/>
      <c r="U50" s="34">
        <v>29452757</v>
      </c>
      <c r="V50" s="70"/>
      <c r="W50" s="69"/>
      <c r="X50" s="69"/>
      <c r="Y50" s="70"/>
      <c r="Z50" s="69"/>
      <c r="AA50" s="69"/>
      <c r="AB50" s="69"/>
      <c r="AC50" s="69"/>
      <c r="AD50" s="36">
        <v>8766822855.9200001</v>
      </c>
      <c r="AE50" s="34">
        <v>8766822855.9200001</v>
      </c>
      <c r="AF50" s="34">
        <v>8761582925.1100006</v>
      </c>
      <c r="AG50" s="34">
        <v>5239930.8099999996</v>
      </c>
      <c r="AH50" s="69"/>
      <c r="AI50" s="69"/>
      <c r="AJ50" s="69"/>
      <c r="AK50" s="69"/>
      <c r="AL50" s="36">
        <v>69319730</v>
      </c>
      <c r="AM50" s="34">
        <v>69319730</v>
      </c>
      <c r="AN50" s="69"/>
      <c r="AO50" s="69"/>
      <c r="AP50" s="69"/>
      <c r="AQ50" s="69"/>
      <c r="AR50" s="69"/>
      <c r="AS50" s="34">
        <v>69319730</v>
      </c>
      <c r="AT50" s="69"/>
      <c r="AU50" s="69"/>
      <c r="AV50" s="69"/>
      <c r="AW50" s="69"/>
      <c r="AX50" s="69"/>
      <c r="AY50" s="69"/>
      <c r="AZ50" s="69"/>
      <c r="BA50" s="69"/>
      <c r="BB50" s="69"/>
      <c r="BC50" s="69"/>
      <c r="BD50" s="69"/>
      <c r="BE50" s="69"/>
      <c r="BF50" s="69"/>
      <c r="BG50" s="70"/>
      <c r="BH50" s="69"/>
      <c r="BI50" s="69"/>
      <c r="BJ50" s="69"/>
      <c r="BK50" s="69"/>
      <c r="BL50" s="71"/>
      <c r="BM50" s="37">
        <v>20184231745.029999</v>
      </c>
    </row>
    <row r="51" spans="1:65">
      <c r="A51" s="73"/>
      <c r="B51" s="74" t="s">
        <v>1365</v>
      </c>
      <c r="C51" s="74"/>
      <c r="D51" s="74"/>
      <c r="E51" s="75" t="s">
        <v>1366</v>
      </c>
      <c r="F51" s="35">
        <v>6577727295.3299999</v>
      </c>
      <c r="G51" s="76">
        <v>2178893082.0700002</v>
      </c>
      <c r="H51" s="76">
        <v>2178893082.0700002</v>
      </c>
      <c r="I51" s="77"/>
      <c r="J51" s="77"/>
      <c r="K51" s="77"/>
      <c r="L51" s="77"/>
      <c r="M51" s="76">
        <v>4398313315.71</v>
      </c>
      <c r="N51" s="76">
        <v>662120537.21000004</v>
      </c>
      <c r="O51" s="76">
        <v>3734212289.5100002</v>
      </c>
      <c r="P51" s="76">
        <v>1980489</v>
      </c>
      <c r="Q51" s="77"/>
      <c r="R51" s="76">
        <v>520897.55</v>
      </c>
      <c r="S51" s="78"/>
      <c r="T51" s="77"/>
      <c r="U51" s="77"/>
      <c r="V51" s="78"/>
      <c r="W51" s="77"/>
      <c r="X51" s="77"/>
      <c r="Y51" s="78"/>
      <c r="Z51" s="77"/>
      <c r="AA51" s="77"/>
      <c r="AB51" s="77"/>
      <c r="AC51" s="77"/>
      <c r="AD51" s="35">
        <v>1039145383.49</v>
      </c>
      <c r="AE51" s="76">
        <v>1039145383.49</v>
      </c>
      <c r="AF51" s="76">
        <v>1039145383.49</v>
      </c>
      <c r="AG51" s="77"/>
      <c r="AH51" s="77"/>
      <c r="AI51" s="77"/>
      <c r="AJ51" s="77"/>
      <c r="AK51" s="77"/>
      <c r="AL51" s="35">
        <v>40838082</v>
      </c>
      <c r="AM51" s="76">
        <v>40838082</v>
      </c>
      <c r="AN51" s="77"/>
      <c r="AO51" s="77"/>
      <c r="AP51" s="77"/>
      <c r="AQ51" s="77"/>
      <c r="AR51" s="77"/>
      <c r="AS51" s="76">
        <v>40838082</v>
      </c>
      <c r="AT51" s="77"/>
      <c r="AU51" s="77"/>
      <c r="AV51" s="77"/>
      <c r="AW51" s="77"/>
      <c r="AX51" s="77"/>
      <c r="AY51" s="77"/>
      <c r="AZ51" s="77"/>
      <c r="BA51" s="77"/>
      <c r="BB51" s="77"/>
      <c r="BC51" s="77"/>
      <c r="BD51" s="77"/>
      <c r="BE51" s="77"/>
      <c r="BF51" s="77"/>
      <c r="BG51" s="78"/>
      <c r="BH51" s="77"/>
      <c r="BI51" s="77"/>
      <c r="BJ51" s="77"/>
      <c r="BK51" s="77"/>
      <c r="BL51" s="79"/>
      <c r="BM51" s="41">
        <v>7657710760.8199997</v>
      </c>
    </row>
    <row r="52" spans="1:65">
      <c r="A52" s="66"/>
      <c r="B52" s="67" t="s">
        <v>1367</v>
      </c>
      <c r="C52" s="67"/>
      <c r="D52" s="67"/>
      <c r="E52" s="68" t="s">
        <v>1368</v>
      </c>
      <c r="F52" s="36">
        <v>601306727.73000002</v>
      </c>
      <c r="G52" s="34">
        <v>601306727.73000002</v>
      </c>
      <c r="H52" s="34">
        <v>302528.73</v>
      </c>
      <c r="I52" s="69"/>
      <c r="J52" s="34">
        <v>601004199</v>
      </c>
      <c r="K52" s="69"/>
      <c r="L52" s="69"/>
      <c r="M52" s="69"/>
      <c r="N52" s="69"/>
      <c r="O52" s="69"/>
      <c r="P52" s="69"/>
      <c r="Q52" s="69"/>
      <c r="R52" s="69"/>
      <c r="S52" s="70"/>
      <c r="T52" s="69"/>
      <c r="U52" s="69"/>
      <c r="V52" s="36">
        <v>32</v>
      </c>
      <c r="W52" s="69"/>
      <c r="X52" s="34">
        <v>32</v>
      </c>
      <c r="Y52" s="70"/>
      <c r="Z52" s="69"/>
      <c r="AA52" s="69"/>
      <c r="AB52" s="69"/>
      <c r="AC52" s="69"/>
      <c r="AD52" s="70"/>
      <c r="AE52" s="69"/>
      <c r="AF52" s="69"/>
      <c r="AG52" s="69"/>
      <c r="AH52" s="69"/>
      <c r="AI52" s="69"/>
      <c r="AJ52" s="69"/>
      <c r="AK52" s="69"/>
      <c r="AL52" s="36">
        <v>11165000</v>
      </c>
      <c r="AM52" s="34">
        <v>11165000</v>
      </c>
      <c r="AN52" s="69"/>
      <c r="AO52" s="69"/>
      <c r="AP52" s="69"/>
      <c r="AQ52" s="69"/>
      <c r="AR52" s="69"/>
      <c r="AS52" s="34">
        <v>11165000</v>
      </c>
      <c r="AT52" s="69"/>
      <c r="AU52" s="69"/>
      <c r="AV52" s="69"/>
      <c r="AW52" s="69"/>
      <c r="AX52" s="69"/>
      <c r="AY52" s="69"/>
      <c r="AZ52" s="69"/>
      <c r="BA52" s="69"/>
      <c r="BB52" s="69"/>
      <c r="BC52" s="69"/>
      <c r="BD52" s="69"/>
      <c r="BE52" s="69"/>
      <c r="BF52" s="69"/>
      <c r="BG52" s="70"/>
      <c r="BH52" s="69"/>
      <c r="BI52" s="69"/>
      <c r="BJ52" s="69"/>
      <c r="BK52" s="69"/>
      <c r="BL52" s="71"/>
      <c r="BM52" s="91">
        <v>612471759.73000002</v>
      </c>
    </row>
    <row r="53" spans="1:65">
      <c r="A53" s="59" t="s">
        <v>1369</v>
      </c>
      <c r="B53" s="60"/>
      <c r="C53" s="60"/>
      <c r="D53" s="60"/>
      <c r="E53" s="61" t="s">
        <v>1370</v>
      </c>
      <c r="F53" s="33">
        <v>10820717424</v>
      </c>
      <c r="G53" s="62">
        <v>1229037198.29</v>
      </c>
      <c r="H53" s="62">
        <v>1229037198.29</v>
      </c>
      <c r="I53" s="63"/>
      <c r="J53" s="63"/>
      <c r="K53" s="63"/>
      <c r="L53" s="63"/>
      <c r="M53" s="62">
        <v>9069441383.9300003</v>
      </c>
      <c r="N53" s="62">
        <v>9069441383.9300003</v>
      </c>
      <c r="O53" s="63"/>
      <c r="P53" s="63"/>
      <c r="Q53" s="63"/>
      <c r="R53" s="62">
        <v>522238841.77999997</v>
      </c>
      <c r="S53" s="33">
        <v>406263</v>
      </c>
      <c r="T53" s="63"/>
      <c r="U53" s="62">
        <v>406263</v>
      </c>
      <c r="V53" s="33">
        <v>464422</v>
      </c>
      <c r="W53" s="63"/>
      <c r="X53" s="62">
        <v>464422</v>
      </c>
      <c r="Y53" s="33">
        <v>418852558.13</v>
      </c>
      <c r="Z53" s="63"/>
      <c r="AA53" s="62">
        <v>418852558.13</v>
      </c>
      <c r="AB53" s="62">
        <v>418852558.13</v>
      </c>
      <c r="AC53" s="63"/>
      <c r="AD53" s="33">
        <v>9527509408.1200008</v>
      </c>
      <c r="AE53" s="62">
        <v>9527509408.1200008</v>
      </c>
      <c r="AF53" s="62">
        <v>9523606304.7000008</v>
      </c>
      <c r="AG53" s="62">
        <v>3903103.42</v>
      </c>
      <c r="AH53" s="63"/>
      <c r="AI53" s="63"/>
      <c r="AJ53" s="63"/>
      <c r="AK53" s="63"/>
      <c r="AL53" s="33">
        <v>232322679</v>
      </c>
      <c r="AM53" s="62">
        <v>232322679</v>
      </c>
      <c r="AN53" s="63"/>
      <c r="AO53" s="63"/>
      <c r="AP53" s="63"/>
      <c r="AQ53" s="63"/>
      <c r="AR53" s="63"/>
      <c r="AS53" s="62">
        <v>232322679</v>
      </c>
      <c r="AT53" s="63"/>
      <c r="AU53" s="63"/>
      <c r="AV53" s="63"/>
      <c r="AW53" s="63"/>
      <c r="AX53" s="63"/>
      <c r="AY53" s="63"/>
      <c r="AZ53" s="63"/>
      <c r="BA53" s="63"/>
      <c r="BB53" s="63"/>
      <c r="BC53" s="63"/>
      <c r="BD53" s="63"/>
      <c r="BE53" s="63"/>
      <c r="BF53" s="63"/>
      <c r="BG53" s="64"/>
      <c r="BH53" s="63"/>
      <c r="BI53" s="63"/>
      <c r="BJ53" s="63"/>
      <c r="BK53" s="63"/>
      <c r="BL53" s="65"/>
      <c r="BM53" s="40">
        <v>21000272754.25</v>
      </c>
    </row>
    <row r="54" spans="1:65">
      <c r="A54" s="81" t="s">
        <v>1371</v>
      </c>
      <c r="B54" s="82"/>
      <c r="C54" s="82"/>
      <c r="D54" s="82"/>
      <c r="E54" s="83" t="s">
        <v>1372</v>
      </c>
      <c r="F54" s="84">
        <v>53848649099.379997</v>
      </c>
      <c r="G54" s="85">
        <v>23417176841.23</v>
      </c>
      <c r="H54" s="85">
        <v>20375992200.299999</v>
      </c>
      <c r="I54" s="85">
        <v>3041184640.9299998</v>
      </c>
      <c r="J54" s="86"/>
      <c r="K54" s="86"/>
      <c r="L54" s="86"/>
      <c r="M54" s="85">
        <v>30425444265.150002</v>
      </c>
      <c r="N54" s="85">
        <v>29248919270.93</v>
      </c>
      <c r="O54" s="86"/>
      <c r="P54" s="85">
        <v>1175134933.6199999</v>
      </c>
      <c r="Q54" s="85">
        <v>1390060.6</v>
      </c>
      <c r="R54" s="85">
        <v>6027993.0099999998</v>
      </c>
      <c r="S54" s="87"/>
      <c r="T54" s="86"/>
      <c r="U54" s="86"/>
      <c r="V54" s="87"/>
      <c r="W54" s="86"/>
      <c r="X54" s="86"/>
      <c r="Y54" s="84">
        <v>8600805837.2800007</v>
      </c>
      <c r="Z54" s="85">
        <v>8600805805.2800007</v>
      </c>
      <c r="AA54" s="85">
        <v>32</v>
      </c>
      <c r="AB54" s="86"/>
      <c r="AC54" s="85">
        <v>32</v>
      </c>
      <c r="AD54" s="84">
        <v>16824204150.99</v>
      </c>
      <c r="AE54" s="85">
        <v>11479849100.35</v>
      </c>
      <c r="AF54" s="85">
        <v>11127676668.35</v>
      </c>
      <c r="AG54" s="86"/>
      <c r="AH54" s="85">
        <v>352172432</v>
      </c>
      <c r="AI54" s="85">
        <v>622561468</v>
      </c>
      <c r="AJ54" s="85">
        <v>622561468</v>
      </c>
      <c r="AK54" s="85">
        <v>4721793582.6300001</v>
      </c>
      <c r="AL54" s="84">
        <v>3312800811.0599999</v>
      </c>
      <c r="AM54" s="85">
        <v>3114141663.9000001</v>
      </c>
      <c r="AN54" s="86"/>
      <c r="AO54" s="86"/>
      <c r="AP54" s="86"/>
      <c r="AQ54" s="86"/>
      <c r="AR54" s="86"/>
      <c r="AS54" s="85">
        <v>3114141663.9000001</v>
      </c>
      <c r="AT54" s="86"/>
      <c r="AU54" s="86"/>
      <c r="AV54" s="86"/>
      <c r="AW54" s="86"/>
      <c r="AX54" s="86"/>
      <c r="AY54" s="86"/>
      <c r="AZ54" s="86"/>
      <c r="BA54" s="86"/>
      <c r="BB54" s="86"/>
      <c r="BC54" s="86"/>
      <c r="BD54" s="86"/>
      <c r="BE54" s="85">
        <v>5381886</v>
      </c>
      <c r="BF54" s="85">
        <v>193277261.16</v>
      </c>
      <c r="BG54" s="84">
        <v>141917766708.29001</v>
      </c>
      <c r="BH54" s="85">
        <v>130392545564.28999</v>
      </c>
      <c r="BI54" s="86"/>
      <c r="BJ54" s="85">
        <v>130392545564.28999</v>
      </c>
      <c r="BK54" s="85">
        <v>11521196144</v>
      </c>
      <c r="BL54" s="93">
        <v>4025000</v>
      </c>
      <c r="BM54" s="89">
        <v>224504226607</v>
      </c>
    </row>
    <row r="55" spans="1:65" ht="15" thickBot="1">
      <c r="A55" s="94" t="s">
        <v>1373</v>
      </c>
      <c r="B55" s="95"/>
      <c r="C55" s="95"/>
      <c r="D55" s="95"/>
      <c r="E55" s="96" t="s">
        <v>1374</v>
      </c>
      <c r="F55" s="97">
        <v>2514378916.6300001</v>
      </c>
      <c r="G55" s="98">
        <v>739879224.5</v>
      </c>
      <c r="H55" s="98">
        <v>739879224.5</v>
      </c>
      <c r="I55" s="99"/>
      <c r="J55" s="99"/>
      <c r="K55" s="99"/>
      <c r="L55" s="99"/>
      <c r="M55" s="98">
        <v>1772357633.46</v>
      </c>
      <c r="N55" s="98">
        <v>1772357633.46</v>
      </c>
      <c r="O55" s="99"/>
      <c r="P55" s="99"/>
      <c r="Q55" s="99"/>
      <c r="R55" s="98">
        <v>2142058.6800000002</v>
      </c>
      <c r="S55" s="100"/>
      <c r="T55" s="99"/>
      <c r="U55" s="99"/>
      <c r="V55" s="100"/>
      <c r="W55" s="99"/>
      <c r="X55" s="99"/>
      <c r="Y55" s="100"/>
      <c r="Z55" s="99"/>
      <c r="AA55" s="99"/>
      <c r="AB55" s="99"/>
      <c r="AC55" s="99"/>
      <c r="AD55" s="97">
        <v>5896149164.0699997</v>
      </c>
      <c r="AE55" s="98">
        <v>5896149164.0699997</v>
      </c>
      <c r="AF55" s="98">
        <v>5893197875.6400003</v>
      </c>
      <c r="AG55" s="98">
        <v>2951288.43</v>
      </c>
      <c r="AH55" s="99"/>
      <c r="AI55" s="99"/>
      <c r="AJ55" s="99"/>
      <c r="AK55" s="99"/>
      <c r="AL55" s="97">
        <v>17600000</v>
      </c>
      <c r="AM55" s="98">
        <v>17600000</v>
      </c>
      <c r="AN55" s="99"/>
      <c r="AO55" s="99"/>
      <c r="AP55" s="99"/>
      <c r="AQ55" s="99"/>
      <c r="AR55" s="99"/>
      <c r="AS55" s="98">
        <v>17600000</v>
      </c>
      <c r="AT55" s="99"/>
      <c r="AU55" s="99"/>
      <c r="AV55" s="99"/>
      <c r="AW55" s="99"/>
      <c r="AX55" s="99"/>
      <c r="AY55" s="99"/>
      <c r="AZ55" s="99"/>
      <c r="BA55" s="99"/>
      <c r="BB55" s="99"/>
      <c r="BC55" s="99"/>
      <c r="BD55" s="99"/>
      <c r="BE55" s="99"/>
      <c r="BF55" s="99"/>
      <c r="BG55" s="100"/>
      <c r="BH55" s="99"/>
      <c r="BI55" s="99"/>
      <c r="BJ55" s="99"/>
      <c r="BK55" s="99"/>
      <c r="BL55" s="101"/>
      <c r="BM55" s="102">
        <v>8428128080.71</v>
      </c>
    </row>
    <row r="56" spans="1:65" ht="15" thickBot="1">
      <c r="A56" s="103" t="s">
        <v>1375</v>
      </c>
      <c r="B56" s="104"/>
      <c r="C56" s="104"/>
      <c r="D56" s="104"/>
      <c r="E56" s="104"/>
      <c r="F56" s="105">
        <v>394611697651.79999</v>
      </c>
      <c r="G56" s="106">
        <v>106926277006.39</v>
      </c>
      <c r="H56" s="107">
        <v>100618360563.22</v>
      </c>
      <c r="I56" s="107">
        <v>5706912244.1700001</v>
      </c>
      <c r="J56" s="107">
        <v>601004199</v>
      </c>
      <c r="K56" s="107">
        <v>6771726.4400000004</v>
      </c>
      <c r="L56" s="107">
        <v>6771726.4400000004</v>
      </c>
      <c r="M56" s="107">
        <v>285397761531.78003</v>
      </c>
      <c r="N56" s="107">
        <v>267253261664.13</v>
      </c>
      <c r="O56" s="107">
        <v>3734212289.5100002</v>
      </c>
      <c r="P56" s="107">
        <v>14400911578.139999</v>
      </c>
      <c r="Q56" s="107">
        <v>9376000</v>
      </c>
      <c r="R56" s="108">
        <v>2280887387.1799998</v>
      </c>
      <c r="S56" s="105">
        <v>29859052</v>
      </c>
      <c r="T56" s="106">
        <v>32</v>
      </c>
      <c r="U56" s="108">
        <v>29859020</v>
      </c>
      <c r="V56" s="105">
        <v>464486</v>
      </c>
      <c r="W56" s="106">
        <v>32</v>
      </c>
      <c r="X56" s="108">
        <v>464454</v>
      </c>
      <c r="Y56" s="105">
        <v>15311927580.709999</v>
      </c>
      <c r="Z56" s="106">
        <v>12317985031.709999</v>
      </c>
      <c r="AA56" s="107">
        <v>2993942549</v>
      </c>
      <c r="AB56" s="107">
        <v>2993942517</v>
      </c>
      <c r="AC56" s="108">
        <v>32</v>
      </c>
      <c r="AD56" s="105">
        <v>217497273278.62</v>
      </c>
      <c r="AE56" s="106">
        <v>212152918227.98999</v>
      </c>
      <c r="AF56" s="107">
        <v>210363623121.59</v>
      </c>
      <c r="AG56" s="107">
        <v>50171985.399999999</v>
      </c>
      <c r="AH56" s="107">
        <v>1739123121</v>
      </c>
      <c r="AI56" s="107">
        <v>622561468</v>
      </c>
      <c r="AJ56" s="107">
        <v>622561468</v>
      </c>
      <c r="AK56" s="108">
        <v>4721793582.6300001</v>
      </c>
      <c r="AL56" s="105">
        <v>179168217945.5</v>
      </c>
      <c r="AM56" s="106">
        <v>24957385281.389999</v>
      </c>
      <c r="AN56" s="107">
        <v>154053401</v>
      </c>
      <c r="AO56" s="107">
        <v>137613396</v>
      </c>
      <c r="AP56" s="107">
        <v>16440005</v>
      </c>
      <c r="AQ56" s="107">
        <v>1870247752.3299999</v>
      </c>
      <c r="AR56" s="107">
        <v>67156787</v>
      </c>
      <c r="AS56" s="107">
        <v>22865927341.060001</v>
      </c>
      <c r="AT56" s="107">
        <v>25981879499.549999</v>
      </c>
      <c r="AU56" s="107">
        <v>22384834116.169998</v>
      </c>
      <c r="AV56" s="107">
        <v>3597045383.3899999</v>
      </c>
      <c r="AW56" s="107">
        <v>2623982459.6500001</v>
      </c>
      <c r="AX56" s="107">
        <v>4568486294.7799997</v>
      </c>
      <c r="AY56" s="107">
        <v>120837825262.97</v>
      </c>
      <c r="AZ56" s="107">
        <v>11704903301.889999</v>
      </c>
      <c r="BA56" s="107">
        <v>620937550.28999996</v>
      </c>
      <c r="BB56" s="107">
        <v>931215243.94000006</v>
      </c>
      <c r="BC56" s="107">
        <v>44059929.590000004</v>
      </c>
      <c r="BD56" s="107">
        <v>107536709237.25999</v>
      </c>
      <c r="BE56" s="107">
        <v>5381886</v>
      </c>
      <c r="BF56" s="108">
        <v>193277261.16</v>
      </c>
      <c r="BG56" s="105">
        <v>142875439366.76999</v>
      </c>
      <c r="BH56" s="106">
        <v>131350218222.77</v>
      </c>
      <c r="BI56" s="107">
        <v>48826268.090000004</v>
      </c>
      <c r="BJ56" s="107">
        <v>131301391954.69</v>
      </c>
      <c r="BK56" s="107">
        <v>11521196144</v>
      </c>
      <c r="BL56" s="109">
        <v>4025000</v>
      </c>
      <c r="BM56" s="110">
        <v>949494879361.41003</v>
      </c>
    </row>
  </sheetData>
  <mergeCells count="3">
    <mergeCell ref="A1:F1"/>
    <mergeCell ref="E2:E5"/>
    <mergeCell ref="A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33AA-EBBB-2B4B-A14F-2D2F0676B7A3}">
  <dimension ref="A1:G219"/>
  <sheetViews>
    <sheetView topLeftCell="A94" workbookViewId="0">
      <selection activeCell="B47" sqref="B47"/>
    </sheetView>
  </sheetViews>
  <sheetFormatPr defaultColWidth="11.5546875" defaultRowHeight="14.4"/>
  <cols>
    <col min="1" max="1" width="9.77734375" style="1" bestFit="1" customWidth="1"/>
    <col min="2" max="2" width="66" style="1" customWidth="1"/>
    <col min="6" max="6" width="103.33203125" style="1" customWidth="1"/>
    <col min="7" max="7" width="40" style="1" customWidth="1"/>
  </cols>
  <sheetData>
    <row r="1" spans="1:7" ht="31.8" thickBot="1">
      <c r="A1" s="32" t="s">
        <v>1131</v>
      </c>
      <c r="B1" s="32" t="s">
        <v>1132</v>
      </c>
      <c r="F1" s="30" t="s">
        <v>296</v>
      </c>
      <c r="G1" s="30" t="s">
        <v>295</v>
      </c>
    </row>
    <row r="2" spans="1:7">
      <c r="A2" s="1" t="s">
        <v>621</v>
      </c>
      <c r="B2" s="2" t="s">
        <v>322</v>
      </c>
      <c r="F2" s="1" t="s">
        <v>303</v>
      </c>
      <c r="G2" s="1" t="s">
        <v>120</v>
      </c>
    </row>
    <row r="3" spans="1:7">
      <c r="A3" s="1" t="s">
        <v>650</v>
      </c>
      <c r="B3" s="2" t="s">
        <v>346</v>
      </c>
      <c r="F3" s="1" t="s">
        <v>304</v>
      </c>
      <c r="G3" s="1" t="s">
        <v>249</v>
      </c>
    </row>
    <row r="4" spans="1:7">
      <c r="A4" s="1" t="s">
        <v>651</v>
      </c>
      <c r="B4" s="2" t="s">
        <v>193</v>
      </c>
      <c r="F4" s="1" t="s">
        <v>305</v>
      </c>
      <c r="G4" s="1" t="s">
        <v>73</v>
      </c>
    </row>
    <row r="5" spans="1:7">
      <c r="A5" s="1" t="s">
        <v>652</v>
      </c>
      <c r="B5" s="2" t="s">
        <v>235</v>
      </c>
      <c r="F5" s="1" t="s">
        <v>306</v>
      </c>
      <c r="G5" s="1" t="s">
        <v>253</v>
      </c>
    </row>
    <row r="6" spans="1:7">
      <c r="A6" s="1" t="s">
        <v>653</v>
      </c>
      <c r="B6" s="2" t="s">
        <v>392</v>
      </c>
      <c r="F6" s="1" t="s">
        <v>307</v>
      </c>
      <c r="G6" s="1" t="s">
        <v>127</v>
      </c>
    </row>
    <row r="7" spans="1:7" ht="43.2">
      <c r="A7" s="1" t="s">
        <v>654</v>
      </c>
      <c r="B7" s="2" t="s">
        <v>397</v>
      </c>
      <c r="F7" s="1" t="s">
        <v>308</v>
      </c>
      <c r="G7" s="1" t="s">
        <v>128</v>
      </c>
    </row>
    <row r="8" spans="1:7">
      <c r="A8" s="1" t="s">
        <v>655</v>
      </c>
      <c r="B8" s="2" t="s">
        <v>383</v>
      </c>
      <c r="F8" s="1" t="s">
        <v>309</v>
      </c>
      <c r="G8" s="1" t="s">
        <v>172</v>
      </c>
    </row>
    <row r="9" spans="1:7" ht="28.8">
      <c r="A9" s="1" t="s">
        <v>656</v>
      </c>
      <c r="B9" s="2" t="s">
        <v>325</v>
      </c>
      <c r="F9" s="1" t="s">
        <v>311</v>
      </c>
      <c r="G9" s="1" t="s">
        <v>170</v>
      </c>
    </row>
    <row r="10" spans="1:7" ht="28.8">
      <c r="A10" s="1" t="s">
        <v>657</v>
      </c>
      <c r="B10" s="2" t="s">
        <v>363</v>
      </c>
      <c r="F10" s="1" t="s">
        <v>312</v>
      </c>
      <c r="G10" s="1" t="s">
        <v>168</v>
      </c>
    </row>
    <row r="11" spans="1:7">
      <c r="A11" s="1" t="s">
        <v>658</v>
      </c>
      <c r="B11" s="2" t="s">
        <v>344</v>
      </c>
      <c r="F11" s="1" t="s">
        <v>314</v>
      </c>
      <c r="G11" s="1" t="s">
        <v>164</v>
      </c>
    </row>
    <row r="12" spans="1:7" ht="28.8">
      <c r="A12" s="1" t="s">
        <v>659</v>
      </c>
      <c r="B12" s="2" t="s">
        <v>414</v>
      </c>
      <c r="F12" s="1" t="s">
        <v>315</v>
      </c>
      <c r="G12" s="1" t="s">
        <v>166</v>
      </c>
    </row>
    <row r="13" spans="1:7" ht="28.8">
      <c r="A13" s="1" t="s">
        <v>622</v>
      </c>
      <c r="B13" s="2" t="s">
        <v>331</v>
      </c>
      <c r="F13" s="1" t="s">
        <v>317</v>
      </c>
      <c r="G13" s="1" t="s">
        <v>316</v>
      </c>
    </row>
    <row r="14" spans="1:7">
      <c r="A14" s="1" t="s">
        <v>660</v>
      </c>
      <c r="B14" s="2" t="s">
        <v>399</v>
      </c>
      <c r="F14" s="1" t="s">
        <v>319</v>
      </c>
      <c r="G14" s="1" t="s">
        <v>262</v>
      </c>
    </row>
    <row r="15" spans="1:7" ht="43.2">
      <c r="A15" s="1" t="s">
        <v>661</v>
      </c>
      <c r="B15" s="2" t="s">
        <v>379</v>
      </c>
      <c r="F15" s="1" t="s">
        <v>321</v>
      </c>
      <c r="G15" s="1" t="s">
        <v>22</v>
      </c>
    </row>
    <row r="16" spans="1:7">
      <c r="A16" s="1" t="s">
        <v>662</v>
      </c>
      <c r="B16" s="2" t="s">
        <v>402</v>
      </c>
      <c r="F16" s="1" t="s">
        <v>322</v>
      </c>
      <c r="G16" s="1" t="s">
        <v>24</v>
      </c>
    </row>
    <row r="17" spans="1:7" ht="43.2">
      <c r="A17" s="1" t="s">
        <v>663</v>
      </c>
      <c r="B17" s="2" t="s">
        <v>321</v>
      </c>
      <c r="F17" s="1" t="s">
        <v>324</v>
      </c>
      <c r="G17" s="1" t="s">
        <v>323</v>
      </c>
    </row>
    <row r="18" spans="1:7">
      <c r="A18" s="1" t="s">
        <v>664</v>
      </c>
      <c r="B18" s="2" t="s">
        <v>375</v>
      </c>
      <c r="F18" s="1" t="s">
        <v>325</v>
      </c>
      <c r="G18" s="1" t="s">
        <v>58</v>
      </c>
    </row>
    <row r="19" spans="1:7">
      <c r="A19" s="1" t="s">
        <v>675</v>
      </c>
      <c r="B19" s="2" t="s">
        <v>342</v>
      </c>
      <c r="F19" s="1" t="s">
        <v>327</v>
      </c>
      <c r="G19" s="1" t="s">
        <v>62</v>
      </c>
    </row>
    <row r="20" spans="1:7" ht="28.8">
      <c r="A20" s="1" t="s">
        <v>676</v>
      </c>
      <c r="B20" s="2" t="s">
        <v>361</v>
      </c>
      <c r="F20" s="1" t="s">
        <v>329</v>
      </c>
      <c r="G20" s="1" t="s">
        <v>328</v>
      </c>
    </row>
    <row r="21" spans="1:7" ht="43.2">
      <c r="A21" s="1" t="s">
        <v>677</v>
      </c>
      <c r="B21" s="2" t="s">
        <v>396</v>
      </c>
      <c r="F21" s="1" t="s">
        <v>331</v>
      </c>
      <c r="G21" s="1" t="s">
        <v>72</v>
      </c>
    </row>
    <row r="22" spans="1:7" ht="43.2">
      <c r="A22" s="1" t="s">
        <v>686</v>
      </c>
      <c r="B22" s="2" t="s">
        <v>327</v>
      </c>
      <c r="F22" s="1" t="s">
        <v>333</v>
      </c>
      <c r="G22" s="1" t="s">
        <v>16</v>
      </c>
    </row>
    <row r="23" spans="1:7" ht="28.8">
      <c r="A23" s="1" t="s">
        <v>687</v>
      </c>
      <c r="B23" s="2" t="s">
        <v>357</v>
      </c>
      <c r="F23" s="1" t="s">
        <v>335</v>
      </c>
      <c r="G23" s="1" t="s">
        <v>134</v>
      </c>
    </row>
    <row r="24" spans="1:7" ht="28.8">
      <c r="A24" s="1" t="s">
        <v>623</v>
      </c>
      <c r="B24" s="2" t="s">
        <v>376</v>
      </c>
      <c r="F24" s="1" t="s">
        <v>337</v>
      </c>
      <c r="G24" s="1" t="s">
        <v>336</v>
      </c>
    </row>
    <row r="25" spans="1:7" ht="43.2">
      <c r="A25" s="1" t="s">
        <v>688</v>
      </c>
      <c r="B25" s="2" t="s">
        <v>391</v>
      </c>
      <c r="F25" s="1" t="s">
        <v>339</v>
      </c>
      <c r="G25" s="1" t="s">
        <v>338</v>
      </c>
    </row>
    <row r="26" spans="1:7" ht="28.8">
      <c r="A26" s="1" t="s">
        <v>689</v>
      </c>
      <c r="B26" s="2" t="s">
        <v>394</v>
      </c>
      <c r="F26" s="1" t="s">
        <v>341</v>
      </c>
      <c r="G26" s="1" t="s">
        <v>340</v>
      </c>
    </row>
    <row r="27" spans="1:7" ht="28.8">
      <c r="A27" s="1" t="s">
        <v>690</v>
      </c>
      <c r="B27" s="2" t="s">
        <v>398</v>
      </c>
      <c r="F27" s="1" t="s">
        <v>342</v>
      </c>
      <c r="G27" s="1" t="s">
        <v>90</v>
      </c>
    </row>
    <row r="28" spans="1:7" ht="28.8">
      <c r="A28" s="1" t="s">
        <v>717</v>
      </c>
      <c r="B28" s="2" t="s">
        <v>352</v>
      </c>
      <c r="F28" s="1" t="s">
        <v>344</v>
      </c>
      <c r="G28" s="1" t="s">
        <v>344</v>
      </c>
    </row>
    <row r="29" spans="1:7" ht="43.2">
      <c r="A29" s="1" t="s">
        <v>718</v>
      </c>
      <c r="B29" s="2" t="s">
        <v>329</v>
      </c>
      <c r="F29" s="1" t="s">
        <v>346</v>
      </c>
      <c r="G29" s="1" t="s">
        <v>92</v>
      </c>
    </row>
    <row r="30" spans="1:7" ht="43.2">
      <c r="A30" s="1" t="s">
        <v>719</v>
      </c>
      <c r="B30" s="2" t="s">
        <v>359</v>
      </c>
      <c r="F30" s="1" t="s">
        <v>349</v>
      </c>
      <c r="G30" s="1" t="s">
        <v>348</v>
      </c>
    </row>
    <row r="31" spans="1:7" ht="43.2">
      <c r="A31" s="1" t="s">
        <v>720</v>
      </c>
      <c r="B31" s="2" t="s">
        <v>362</v>
      </c>
      <c r="F31" s="1" t="s">
        <v>352</v>
      </c>
      <c r="G31" s="1" t="s">
        <v>351</v>
      </c>
    </row>
    <row r="32" spans="1:7" ht="28.8">
      <c r="A32" s="1" t="s">
        <v>721</v>
      </c>
      <c r="B32" s="2" t="s">
        <v>365</v>
      </c>
      <c r="F32" s="1" t="s">
        <v>353</v>
      </c>
      <c r="G32" s="1" t="s">
        <v>241</v>
      </c>
    </row>
    <row r="33" spans="1:7" ht="28.8">
      <c r="A33" s="1" t="s">
        <v>722</v>
      </c>
      <c r="B33" s="2" t="s">
        <v>367</v>
      </c>
      <c r="F33" s="1" t="s">
        <v>355</v>
      </c>
      <c r="G33" s="1" t="s">
        <v>354</v>
      </c>
    </row>
    <row r="34" spans="1:7" ht="28.8">
      <c r="A34" s="1" t="s">
        <v>723</v>
      </c>
      <c r="B34" s="2" t="s">
        <v>368</v>
      </c>
      <c r="F34" s="1" t="s">
        <v>357</v>
      </c>
      <c r="G34" s="1" t="s">
        <v>356</v>
      </c>
    </row>
    <row r="35" spans="1:7">
      <c r="A35" s="1" t="s">
        <v>641</v>
      </c>
      <c r="B35" s="2" t="s">
        <v>388</v>
      </c>
      <c r="F35" s="1" t="s">
        <v>358</v>
      </c>
      <c r="G35" s="1" t="s">
        <v>117</v>
      </c>
    </row>
    <row r="36" spans="1:7">
      <c r="A36" s="1" t="s">
        <v>724</v>
      </c>
      <c r="B36" s="2" t="s">
        <v>371</v>
      </c>
      <c r="F36" s="1" t="s">
        <v>359</v>
      </c>
      <c r="G36" s="1" t="s">
        <v>81</v>
      </c>
    </row>
    <row r="37" spans="1:7" ht="28.8">
      <c r="A37" s="1" t="s">
        <v>725</v>
      </c>
      <c r="B37" s="2" t="s">
        <v>381</v>
      </c>
      <c r="F37" s="1" t="s">
        <v>361</v>
      </c>
      <c r="G37" s="1" t="s">
        <v>360</v>
      </c>
    </row>
    <row r="38" spans="1:7">
      <c r="A38" s="1" t="s">
        <v>726</v>
      </c>
      <c r="B38" s="2" t="s">
        <v>378</v>
      </c>
      <c r="F38" s="1" t="s">
        <v>362</v>
      </c>
      <c r="G38" s="1" t="s">
        <v>197</v>
      </c>
    </row>
    <row r="39" spans="1:7" ht="28.8">
      <c r="A39" s="1" t="s">
        <v>727</v>
      </c>
      <c r="B39" s="2" t="s">
        <v>339</v>
      </c>
      <c r="F39" s="1" t="s">
        <v>363</v>
      </c>
      <c r="G39" s="1" t="s">
        <v>123</v>
      </c>
    </row>
    <row r="40" spans="1:7">
      <c r="A40" s="1" t="s">
        <v>728</v>
      </c>
      <c r="B40" s="2" t="s">
        <v>408</v>
      </c>
      <c r="F40" s="1" t="s">
        <v>365</v>
      </c>
      <c r="G40" s="1" t="s">
        <v>364</v>
      </c>
    </row>
    <row r="41" spans="1:7" ht="28.8">
      <c r="A41" s="1" t="s">
        <v>706</v>
      </c>
      <c r="B41" s="2" t="s">
        <v>358</v>
      </c>
      <c r="F41" s="1" t="s">
        <v>366</v>
      </c>
      <c r="G41" s="1" t="s">
        <v>140</v>
      </c>
    </row>
    <row r="42" spans="1:7" ht="43.2">
      <c r="A42" s="1" t="s">
        <v>707</v>
      </c>
      <c r="B42" s="2" t="s">
        <v>369</v>
      </c>
      <c r="F42" s="1" t="s">
        <v>367</v>
      </c>
      <c r="G42" s="1" t="s">
        <v>201</v>
      </c>
    </row>
    <row r="43" spans="1:7" ht="28.8">
      <c r="A43" s="1" t="s">
        <v>736</v>
      </c>
      <c r="B43" s="2" t="s">
        <v>349</v>
      </c>
      <c r="F43" s="1" t="s">
        <v>368</v>
      </c>
      <c r="G43" s="1" t="s">
        <v>54</v>
      </c>
    </row>
    <row r="44" spans="1:7">
      <c r="A44" s="1" t="s">
        <v>761</v>
      </c>
      <c r="B44" s="2" t="s">
        <v>403</v>
      </c>
      <c r="F44" s="1" t="s">
        <v>369</v>
      </c>
      <c r="G44" s="1" t="s">
        <v>109</v>
      </c>
    </row>
    <row r="45" spans="1:7" ht="28.8">
      <c r="A45" s="1" t="s">
        <v>780</v>
      </c>
      <c r="B45" s="2" t="s">
        <v>341</v>
      </c>
      <c r="F45" s="1" t="s">
        <v>371</v>
      </c>
      <c r="G45" s="1" t="s">
        <v>370</v>
      </c>
    </row>
    <row r="46" spans="1:7" ht="28.8">
      <c r="A46" s="1" t="s">
        <v>645</v>
      </c>
      <c r="B46" s="2" t="s">
        <v>405</v>
      </c>
      <c r="F46" s="1" t="s">
        <v>373</v>
      </c>
      <c r="G46" s="1" t="s">
        <v>372</v>
      </c>
    </row>
    <row r="47" spans="1:7" ht="28.8">
      <c r="A47" s="1" t="s">
        <v>781</v>
      </c>
      <c r="B47" s="2" t="s">
        <v>385</v>
      </c>
      <c r="F47" s="1" t="s">
        <v>375</v>
      </c>
      <c r="G47" s="1" t="s">
        <v>374</v>
      </c>
    </row>
    <row r="48" spans="1:7">
      <c r="A48" s="1" t="s">
        <v>834</v>
      </c>
      <c r="B48" s="2" t="s">
        <v>416</v>
      </c>
      <c r="F48" s="1" t="s">
        <v>376</v>
      </c>
      <c r="G48" s="1" t="s">
        <v>152</v>
      </c>
    </row>
    <row r="49" spans="1:7">
      <c r="A49" s="1" t="s">
        <v>782</v>
      </c>
      <c r="B49" s="2" t="s">
        <v>324</v>
      </c>
      <c r="F49" s="1" t="s">
        <v>378</v>
      </c>
      <c r="G49" s="1" t="s">
        <v>154</v>
      </c>
    </row>
    <row r="50" spans="1:7" ht="28.8">
      <c r="A50" s="1" t="s">
        <v>783</v>
      </c>
      <c r="B50" s="2" t="s">
        <v>337</v>
      </c>
      <c r="F50" s="1" t="s">
        <v>379</v>
      </c>
      <c r="G50" s="1" t="s">
        <v>162</v>
      </c>
    </row>
    <row r="51" spans="1:7">
      <c r="A51" s="1" t="s">
        <v>784</v>
      </c>
      <c r="B51" s="2" t="s">
        <v>353</v>
      </c>
      <c r="F51" s="1" t="s">
        <v>381</v>
      </c>
      <c r="G51" s="1" t="s">
        <v>380</v>
      </c>
    </row>
    <row r="52" spans="1:7" ht="28.8">
      <c r="A52" s="1" t="s">
        <v>785</v>
      </c>
      <c r="B52" s="2" t="s">
        <v>373</v>
      </c>
      <c r="F52" s="1" t="s">
        <v>383</v>
      </c>
      <c r="G52" s="1" t="s">
        <v>382</v>
      </c>
    </row>
    <row r="53" spans="1:7" ht="28.8">
      <c r="A53" s="1" t="s">
        <v>786</v>
      </c>
      <c r="B53" s="2" t="s">
        <v>387</v>
      </c>
      <c r="F53" s="1" t="s">
        <v>385</v>
      </c>
      <c r="G53" s="1" t="s">
        <v>384</v>
      </c>
    </row>
    <row r="54" spans="1:7" ht="43.2">
      <c r="A54" s="1" t="s">
        <v>787</v>
      </c>
      <c r="B54" s="2" t="s">
        <v>390</v>
      </c>
      <c r="F54" s="1" t="s">
        <v>193</v>
      </c>
      <c r="G54" s="1" t="s">
        <v>193</v>
      </c>
    </row>
    <row r="55" spans="1:7" ht="28.8">
      <c r="A55" s="1" t="s">
        <v>788</v>
      </c>
      <c r="B55" s="2" t="s">
        <v>410</v>
      </c>
      <c r="F55" s="1" t="s">
        <v>387</v>
      </c>
      <c r="G55" s="1" t="s">
        <v>386</v>
      </c>
    </row>
    <row r="56" spans="1:7" ht="28.8">
      <c r="A56" s="1" t="s">
        <v>789</v>
      </c>
      <c r="B56" s="2" t="s">
        <v>412</v>
      </c>
      <c r="F56" s="1" t="s">
        <v>388</v>
      </c>
      <c r="G56" s="1" t="s">
        <v>202</v>
      </c>
    </row>
    <row r="57" spans="1:7" ht="43.2">
      <c r="A57" s="1" t="s">
        <v>643</v>
      </c>
      <c r="B57" s="2" t="s">
        <v>355</v>
      </c>
      <c r="F57" s="1" t="s">
        <v>390</v>
      </c>
      <c r="G57" s="1" t="s">
        <v>389</v>
      </c>
    </row>
    <row r="58" spans="1:7" ht="28.8">
      <c r="A58" s="1" t="s">
        <v>640</v>
      </c>
      <c r="B58" s="2" t="s">
        <v>366</v>
      </c>
      <c r="F58" s="1" t="s">
        <v>391</v>
      </c>
      <c r="G58" s="1" t="s">
        <v>204</v>
      </c>
    </row>
    <row r="59" spans="1:7" ht="28.8">
      <c r="A59" s="1" t="s">
        <v>665</v>
      </c>
      <c r="B59" s="2" t="s">
        <v>333</v>
      </c>
      <c r="F59" s="1" t="s">
        <v>392</v>
      </c>
      <c r="G59" s="1" t="s">
        <v>68</v>
      </c>
    </row>
    <row r="60" spans="1:7" ht="28.8">
      <c r="A60" s="1" t="s">
        <v>666</v>
      </c>
      <c r="B60" s="2" t="s">
        <v>335</v>
      </c>
      <c r="F60" s="1" t="s">
        <v>394</v>
      </c>
      <c r="G60" s="1" t="s">
        <v>393</v>
      </c>
    </row>
    <row r="61" spans="1:7">
      <c r="A61" s="1" t="s">
        <v>624</v>
      </c>
      <c r="B61" s="2" t="s">
        <v>543</v>
      </c>
      <c r="F61" s="1" t="s">
        <v>396</v>
      </c>
      <c r="G61" s="1" t="s">
        <v>142</v>
      </c>
    </row>
    <row r="62" spans="1:7" ht="28.8">
      <c r="A62" s="1" t="s">
        <v>646</v>
      </c>
      <c r="B62" s="2" t="s">
        <v>595</v>
      </c>
      <c r="F62" s="1" t="s">
        <v>397</v>
      </c>
      <c r="G62" s="1" t="s">
        <v>288</v>
      </c>
    </row>
    <row r="63" spans="1:7">
      <c r="A63" s="1" t="s">
        <v>667</v>
      </c>
      <c r="B63" s="2" t="s">
        <v>552</v>
      </c>
      <c r="F63" s="1" t="s">
        <v>235</v>
      </c>
      <c r="G63" s="1" t="s">
        <v>235</v>
      </c>
    </row>
    <row r="64" spans="1:7">
      <c r="A64" s="1" t="s">
        <v>668</v>
      </c>
      <c r="B64" s="2" t="s">
        <v>581</v>
      </c>
      <c r="F64" s="1" t="s">
        <v>398</v>
      </c>
      <c r="G64" s="1" t="s">
        <v>264</v>
      </c>
    </row>
    <row r="65" spans="1:7">
      <c r="A65" s="1" t="s">
        <v>678</v>
      </c>
      <c r="B65" s="2" t="s">
        <v>545</v>
      </c>
      <c r="F65" s="1" t="s">
        <v>399</v>
      </c>
      <c r="G65" s="1" t="s">
        <v>399</v>
      </c>
    </row>
    <row r="66" spans="1:7">
      <c r="A66" s="1" t="s">
        <v>679</v>
      </c>
      <c r="B66" s="2" t="s">
        <v>564</v>
      </c>
      <c r="F66" s="1" t="s">
        <v>402</v>
      </c>
      <c r="G66" s="1" t="s">
        <v>401</v>
      </c>
    </row>
    <row r="67" spans="1:7">
      <c r="A67" s="1" t="s">
        <v>680</v>
      </c>
      <c r="B67" s="2" t="s">
        <v>283</v>
      </c>
      <c r="F67" s="1" t="s">
        <v>403</v>
      </c>
      <c r="G67" s="1" t="s">
        <v>403</v>
      </c>
    </row>
    <row r="68" spans="1:7">
      <c r="A68" s="1" t="s">
        <v>681</v>
      </c>
      <c r="B68" s="2" t="s">
        <v>287</v>
      </c>
      <c r="F68" s="1" t="s">
        <v>405</v>
      </c>
      <c r="G68" s="1" t="s">
        <v>268</v>
      </c>
    </row>
    <row r="69" spans="1:7" ht="43.2">
      <c r="A69" s="1" t="s">
        <v>691</v>
      </c>
      <c r="B69" s="2" t="s">
        <v>585</v>
      </c>
      <c r="F69" s="1" t="s">
        <v>408</v>
      </c>
      <c r="G69" s="1" t="s">
        <v>407</v>
      </c>
    </row>
    <row r="70" spans="1:7" ht="43.2">
      <c r="A70" s="1" t="s">
        <v>729</v>
      </c>
      <c r="B70" s="2" t="s">
        <v>547</v>
      </c>
      <c r="F70" s="1" t="s">
        <v>410</v>
      </c>
      <c r="G70" s="1" t="s">
        <v>409</v>
      </c>
    </row>
    <row r="71" spans="1:7" ht="43.2">
      <c r="A71" s="1" t="s">
        <v>730</v>
      </c>
      <c r="B71" s="2" t="s">
        <v>582</v>
      </c>
      <c r="F71" s="1" t="s">
        <v>412</v>
      </c>
      <c r="G71" s="1" t="s">
        <v>411</v>
      </c>
    </row>
    <row r="72" spans="1:7">
      <c r="A72" s="1" t="s">
        <v>625</v>
      </c>
      <c r="B72" s="2" t="s">
        <v>125</v>
      </c>
      <c r="F72" s="1" t="s">
        <v>414</v>
      </c>
      <c r="G72" s="1" t="s">
        <v>413</v>
      </c>
    </row>
    <row r="73" spans="1:7" ht="28.8">
      <c r="A73" s="1" t="s">
        <v>737</v>
      </c>
      <c r="B73" s="2" t="s">
        <v>566</v>
      </c>
      <c r="F73" s="1" t="s">
        <v>416</v>
      </c>
      <c r="G73" s="1" t="s">
        <v>290</v>
      </c>
    </row>
    <row r="74" spans="1:7" ht="28.8">
      <c r="A74" s="1" t="s">
        <v>738</v>
      </c>
      <c r="B74" s="2" t="s">
        <v>567</v>
      </c>
      <c r="F74" s="1" t="s">
        <v>417</v>
      </c>
      <c r="G74" s="1" t="s">
        <v>28</v>
      </c>
    </row>
    <row r="75" spans="1:7" ht="43.2">
      <c r="A75" s="1" t="s">
        <v>739</v>
      </c>
      <c r="B75" s="2" t="s">
        <v>569</v>
      </c>
      <c r="F75" s="1" t="s">
        <v>419</v>
      </c>
      <c r="G75" s="1" t="s">
        <v>418</v>
      </c>
    </row>
    <row r="76" spans="1:7">
      <c r="A76" s="1" t="s">
        <v>740</v>
      </c>
      <c r="B76" s="2" t="s">
        <v>176</v>
      </c>
      <c r="F76" s="1" t="s">
        <v>421</v>
      </c>
      <c r="G76" s="1" t="s">
        <v>420</v>
      </c>
    </row>
    <row r="77" spans="1:7">
      <c r="A77" s="1" t="s">
        <v>756</v>
      </c>
      <c r="B77" s="2" t="s">
        <v>571</v>
      </c>
      <c r="F77" s="1" t="s">
        <v>423</v>
      </c>
      <c r="G77" s="1" t="s">
        <v>35</v>
      </c>
    </row>
    <row r="78" spans="1:7" ht="28.8">
      <c r="A78" s="1" t="s">
        <v>768</v>
      </c>
      <c r="B78" s="2" t="s">
        <v>537</v>
      </c>
      <c r="F78" s="1" t="s">
        <v>425</v>
      </c>
      <c r="G78" s="1" t="s">
        <v>424</v>
      </c>
    </row>
    <row r="79" spans="1:7" ht="43.2">
      <c r="A79" s="1" t="s">
        <v>769</v>
      </c>
      <c r="B79" s="2" t="s">
        <v>539</v>
      </c>
      <c r="F79" s="1" t="s">
        <v>75</v>
      </c>
      <c r="G79" s="1" t="s">
        <v>75</v>
      </c>
    </row>
    <row r="80" spans="1:7" ht="43.2">
      <c r="A80" s="1" t="s">
        <v>774</v>
      </c>
      <c r="B80" s="2" t="s">
        <v>558</v>
      </c>
      <c r="F80" s="1" t="s">
        <v>428</v>
      </c>
      <c r="G80" s="1" t="s">
        <v>136</v>
      </c>
    </row>
    <row r="81" spans="1:7" ht="57.6">
      <c r="A81" s="1" t="s">
        <v>775</v>
      </c>
      <c r="B81" s="2" t="s">
        <v>561</v>
      </c>
      <c r="F81" s="1" t="s">
        <v>85</v>
      </c>
      <c r="G81" s="1" t="s">
        <v>85</v>
      </c>
    </row>
    <row r="82" spans="1:7" ht="57.6">
      <c r="A82" s="1" t="s">
        <v>776</v>
      </c>
      <c r="B82" s="2" t="s">
        <v>597</v>
      </c>
      <c r="F82" s="1" t="s">
        <v>86</v>
      </c>
      <c r="G82" s="1" t="s">
        <v>86</v>
      </c>
    </row>
    <row r="83" spans="1:7">
      <c r="A83" s="1" t="s">
        <v>626</v>
      </c>
      <c r="B83" s="2" t="s">
        <v>147</v>
      </c>
      <c r="F83" s="1" t="s">
        <v>430</v>
      </c>
      <c r="G83" s="1" t="s">
        <v>281</v>
      </c>
    </row>
    <row r="84" spans="1:7" ht="28.8">
      <c r="A84" s="1" t="s">
        <v>790</v>
      </c>
      <c r="B84" s="2" t="s">
        <v>573</v>
      </c>
      <c r="F84" s="1" t="s">
        <v>432</v>
      </c>
      <c r="G84" s="1" t="s">
        <v>100</v>
      </c>
    </row>
    <row r="85" spans="1:7">
      <c r="A85" s="1" t="s">
        <v>799</v>
      </c>
      <c r="B85" s="2" t="s">
        <v>26</v>
      </c>
      <c r="F85" s="1" t="s">
        <v>433</v>
      </c>
      <c r="G85" s="1" t="s">
        <v>103</v>
      </c>
    </row>
    <row r="86" spans="1:7">
      <c r="A86" s="1" t="s">
        <v>800</v>
      </c>
      <c r="B86" s="2" t="s">
        <v>532</v>
      </c>
      <c r="F86" s="1" t="s">
        <v>435</v>
      </c>
      <c r="G86" s="1" t="s">
        <v>434</v>
      </c>
    </row>
    <row r="87" spans="1:7">
      <c r="A87" s="1" t="s">
        <v>801</v>
      </c>
      <c r="B87" s="2" t="s">
        <v>534</v>
      </c>
      <c r="F87" s="1" t="s">
        <v>437</v>
      </c>
      <c r="G87" s="1" t="s">
        <v>436</v>
      </c>
    </row>
    <row r="88" spans="1:7">
      <c r="A88" s="1" t="s">
        <v>802</v>
      </c>
      <c r="B88" s="2" t="s">
        <v>60</v>
      </c>
      <c r="F88" s="1" t="s">
        <v>439</v>
      </c>
      <c r="G88" s="1" t="s">
        <v>438</v>
      </c>
    </row>
    <row r="89" spans="1:7">
      <c r="A89" s="1" t="s">
        <v>803</v>
      </c>
      <c r="B89" s="2" t="s">
        <v>98</v>
      </c>
      <c r="F89" s="1" t="s">
        <v>440</v>
      </c>
      <c r="G89" s="1" t="s">
        <v>275</v>
      </c>
    </row>
    <row r="90" spans="1:7" ht="28.8">
      <c r="A90" s="1" t="s">
        <v>804</v>
      </c>
      <c r="B90" s="2" t="s">
        <v>551</v>
      </c>
      <c r="F90" s="1" t="s">
        <v>442</v>
      </c>
      <c r="G90" s="1" t="s">
        <v>145</v>
      </c>
    </row>
    <row r="91" spans="1:7">
      <c r="A91" s="1" t="s">
        <v>805</v>
      </c>
      <c r="B91" s="2" t="s">
        <v>553</v>
      </c>
      <c r="F91" s="1" t="s">
        <v>444</v>
      </c>
      <c r="G91" s="1" t="s">
        <v>444</v>
      </c>
    </row>
    <row r="92" spans="1:7">
      <c r="A92" s="1" t="s">
        <v>806</v>
      </c>
      <c r="B92" s="2" t="s">
        <v>555</v>
      </c>
      <c r="F92" s="1" t="s">
        <v>445</v>
      </c>
      <c r="G92" s="1" t="s">
        <v>110</v>
      </c>
    </row>
    <row r="93" spans="1:7">
      <c r="A93" s="1" t="s">
        <v>807</v>
      </c>
      <c r="B93" s="2" t="s">
        <v>144</v>
      </c>
      <c r="F93" s="1" t="s">
        <v>447</v>
      </c>
      <c r="G93" s="1" t="s">
        <v>446</v>
      </c>
    </row>
    <row r="94" spans="1:7" ht="28.8">
      <c r="A94" s="1" t="s">
        <v>627</v>
      </c>
      <c r="B94" s="2" t="s">
        <v>572</v>
      </c>
      <c r="F94" s="1" t="s">
        <v>449</v>
      </c>
      <c r="G94" s="1" t="s">
        <v>448</v>
      </c>
    </row>
    <row r="95" spans="1:7" ht="28.8">
      <c r="A95" s="1" t="s">
        <v>808</v>
      </c>
      <c r="B95" s="2" t="s">
        <v>578</v>
      </c>
      <c r="F95" s="1" t="s">
        <v>452</v>
      </c>
      <c r="G95" s="1" t="s">
        <v>451</v>
      </c>
    </row>
    <row r="96" spans="1:7">
      <c r="A96" s="1" t="s">
        <v>809</v>
      </c>
      <c r="B96" s="2" t="s">
        <v>580</v>
      </c>
      <c r="F96" s="1" t="s">
        <v>454</v>
      </c>
      <c r="G96" s="1" t="s">
        <v>129</v>
      </c>
    </row>
    <row r="97" spans="1:7">
      <c r="A97" s="1" t="s">
        <v>810</v>
      </c>
      <c r="B97" s="2" t="s">
        <v>586</v>
      </c>
      <c r="F97" s="1" t="s">
        <v>456</v>
      </c>
      <c r="G97" s="1" t="s">
        <v>41</v>
      </c>
    </row>
    <row r="98" spans="1:7">
      <c r="A98" s="1" t="s">
        <v>811</v>
      </c>
      <c r="B98" s="2" t="s">
        <v>588</v>
      </c>
      <c r="F98" s="1" t="s">
        <v>458</v>
      </c>
      <c r="G98" s="1" t="s">
        <v>458</v>
      </c>
    </row>
    <row r="99" spans="1:7" ht="28.8">
      <c r="A99" s="1" t="s">
        <v>812</v>
      </c>
      <c r="B99" s="2" t="s">
        <v>590</v>
      </c>
      <c r="F99" s="1" t="s">
        <v>459</v>
      </c>
      <c r="G99" s="1" t="s">
        <v>211</v>
      </c>
    </row>
    <row r="100" spans="1:7">
      <c r="A100" s="1" t="s">
        <v>813</v>
      </c>
      <c r="B100" s="2" t="s">
        <v>592</v>
      </c>
      <c r="F100" s="1" t="s">
        <v>461</v>
      </c>
      <c r="G100" s="1" t="s">
        <v>96</v>
      </c>
    </row>
    <row r="101" spans="1:7">
      <c r="A101" s="1" t="s">
        <v>814</v>
      </c>
      <c r="B101" s="2" t="s">
        <v>37</v>
      </c>
      <c r="F101" s="1" t="s">
        <v>463</v>
      </c>
      <c r="G101" s="1" t="s">
        <v>39</v>
      </c>
    </row>
    <row r="102" spans="1:7">
      <c r="A102" s="1" t="s">
        <v>815</v>
      </c>
      <c r="B102" s="2" t="s">
        <v>593</v>
      </c>
      <c r="F102" s="1" t="s">
        <v>465</v>
      </c>
      <c r="G102" s="1" t="s">
        <v>180</v>
      </c>
    </row>
    <row r="103" spans="1:7">
      <c r="A103" s="1" t="s">
        <v>816</v>
      </c>
      <c r="B103" s="2" t="s">
        <v>272</v>
      </c>
      <c r="F103" s="1" t="s">
        <v>467</v>
      </c>
      <c r="G103" s="1" t="s">
        <v>184</v>
      </c>
    </row>
    <row r="104" spans="1:7">
      <c r="A104" s="1" t="s">
        <v>817</v>
      </c>
      <c r="B104" s="2" t="s">
        <v>273</v>
      </c>
      <c r="F104" s="1" t="s">
        <v>469</v>
      </c>
      <c r="G104" s="1" t="s">
        <v>199</v>
      </c>
    </row>
    <row r="105" spans="1:7">
      <c r="A105" s="1" t="s">
        <v>628</v>
      </c>
      <c r="B105" s="2" t="s">
        <v>576</v>
      </c>
      <c r="F105" s="1" t="s">
        <v>470</v>
      </c>
      <c r="G105" s="1" t="s">
        <v>237</v>
      </c>
    </row>
    <row r="106" spans="1:7">
      <c r="A106" s="1" t="s">
        <v>818</v>
      </c>
      <c r="B106" s="2" t="s">
        <v>284</v>
      </c>
      <c r="F106" s="1" t="s">
        <v>472</v>
      </c>
      <c r="G106" s="1" t="s">
        <v>186</v>
      </c>
    </row>
    <row r="107" spans="1:7" ht="28.8">
      <c r="A107" s="1" t="s">
        <v>791</v>
      </c>
      <c r="B107" s="2" t="s">
        <v>531</v>
      </c>
      <c r="F107" s="1" t="s">
        <v>473</v>
      </c>
      <c r="G107" s="1" t="s">
        <v>101</v>
      </c>
    </row>
    <row r="108" spans="1:7" ht="28.8">
      <c r="A108" s="1" t="s">
        <v>792</v>
      </c>
      <c r="B108" s="2" t="s">
        <v>541</v>
      </c>
      <c r="F108" s="1" t="s">
        <v>191</v>
      </c>
      <c r="G108" s="1" t="s">
        <v>191</v>
      </c>
    </row>
    <row r="109" spans="1:7">
      <c r="A109" s="1" t="s">
        <v>793</v>
      </c>
      <c r="B109" s="2" t="s">
        <v>546</v>
      </c>
      <c r="F109" s="1" t="s">
        <v>475</v>
      </c>
      <c r="G109" s="1" t="s">
        <v>195</v>
      </c>
    </row>
    <row r="110" spans="1:7">
      <c r="A110" s="1" t="s">
        <v>794</v>
      </c>
      <c r="B110" s="2" t="s">
        <v>549</v>
      </c>
      <c r="F110" s="1" t="s">
        <v>477</v>
      </c>
      <c r="G110" s="1" t="s">
        <v>476</v>
      </c>
    </row>
    <row r="111" spans="1:7" ht="57.6">
      <c r="A111" s="1" t="s">
        <v>795</v>
      </c>
      <c r="B111" s="2" t="s">
        <v>563</v>
      </c>
      <c r="F111" s="1" t="s">
        <v>478</v>
      </c>
      <c r="G111" s="1" t="s">
        <v>266</v>
      </c>
    </row>
    <row r="112" spans="1:7">
      <c r="A112" s="1" t="s">
        <v>796</v>
      </c>
      <c r="B112" s="2" t="s">
        <v>583</v>
      </c>
      <c r="F112" s="1" t="s">
        <v>479</v>
      </c>
      <c r="G112" s="1" t="s">
        <v>31</v>
      </c>
    </row>
    <row r="113" spans="1:7" ht="43.2">
      <c r="A113" s="1" t="s">
        <v>831</v>
      </c>
      <c r="B113" s="2" t="s">
        <v>584</v>
      </c>
      <c r="F113" s="1" t="s">
        <v>481</v>
      </c>
      <c r="G113" s="1" t="s">
        <v>66</v>
      </c>
    </row>
    <row r="114" spans="1:7">
      <c r="A114" s="1" t="s">
        <v>836</v>
      </c>
      <c r="B114" s="2" t="s">
        <v>550</v>
      </c>
      <c r="F114" s="1" t="s">
        <v>482</v>
      </c>
      <c r="G114" s="1" t="s">
        <v>206</v>
      </c>
    </row>
    <row r="115" spans="1:7" ht="28.8">
      <c r="A115" s="1" t="s">
        <v>629</v>
      </c>
      <c r="B115" s="2" t="s">
        <v>577</v>
      </c>
      <c r="F115" s="1" t="s">
        <v>484</v>
      </c>
      <c r="G115" s="1" t="s">
        <v>483</v>
      </c>
    </row>
    <row r="116" spans="1:7" ht="28.8">
      <c r="A116" s="1" t="s">
        <v>630</v>
      </c>
      <c r="B116" s="2" t="s">
        <v>579</v>
      </c>
      <c r="F116" s="1" t="s">
        <v>485</v>
      </c>
      <c r="G116" s="1" t="s">
        <v>207</v>
      </c>
    </row>
    <row r="117" spans="1:7" ht="28.8">
      <c r="A117" s="1" t="s">
        <v>647</v>
      </c>
      <c r="B117" s="2" t="s">
        <v>575</v>
      </c>
      <c r="F117" s="1" t="s">
        <v>487</v>
      </c>
      <c r="G117" s="1" t="s">
        <v>209</v>
      </c>
    </row>
    <row r="118" spans="1:7">
      <c r="A118" s="1" t="s">
        <v>648</v>
      </c>
      <c r="B118" s="2" t="s">
        <v>254</v>
      </c>
      <c r="F118" s="1" t="s">
        <v>489</v>
      </c>
      <c r="G118" s="1" t="s">
        <v>488</v>
      </c>
    </row>
    <row r="119" spans="1:7">
      <c r="A119" s="1" t="s">
        <v>631</v>
      </c>
      <c r="B119" s="2" t="s">
        <v>430</v>
      </c>
      <c r="F119" s="1" t="s">
        <v>490</v>
      </c>
      <c r="G119" s="1" t="s">
        <v>233</v>
      </c>
    </row>
    <row r="120" spans="1:7" ht="28.8">
      <c r="A120" s="1" t="s">
        <v>642</v>
      </c>
      <c r="B120" s="2" t="s">
        <v>499</v>
      </c>
      <c r="F120" s="1" t="s">
        <v>492</v>
      </c>
      <c r="G120" s="1" t="s">
        <v>491</v>
      </c>
    </row>
    <row r="121" spans="1:7" ht="28.8">
      <c r="A121" s="1" t="s">
        <v>649</v>
      </c>
      <c r="B121" s="2" t="s">
        <v>463</v>
      </c>
      <c r="F121" s="1" t="s">
        <v>495</v>
      </c>
      <c r="G121" s="1" t="s">
        <v>494</v>
      </c>
    </row>
    <row r="122" spans="1:7">
      <c r="A122" s="1" t="s">
        <v>669</v>
      </c>
      <c r="B122" s="2" t="s">
        <v>428</v>
      </c>
      <c r="F122" s="1" t="s">
        <v>497</v>
      </c>
      <c r="G122" s="1" t="s">
        <v>77</v>
      </c>
    </row>
    <row r="123" spans="1:7" ht="43.2">
      <c r="A123" s="1" t="s">
        <v>670</v>
      </c>
      <c r="B123" s="2" t="s">
        <v>417</v>
      </c>
      <c r="F123" s="1" t="s">
        <v>499</v>
      </c>
      <c r="G123" s="1" t="s">
        <v>79</v>
      </c>
    </row>
    <row r="124" spans="1:7" ht="28.8">
      <c r="A124" s="1" t="s">
        <v>671</v>
      </c>
      <c r="B124" s="2" t="s">
        <v>485</v>
      </c>
      <c r="F124" s="1" t="s">
        <v>501</v>
      </c>
      <c r="G124" s="1" t="s">
        <v>151</v>
      </c>
    </row>
    <row r="125" spans="1:7">
      <c r="A125" s="1" t="s">
        <v>682</v>
      </c>
      <c r="B125" s="2" t="s">
        <v>458</v>
      </c>
      <c r="F125" s="1" t="s">
        <v>503</v>
      </c>
      <c r="G125" s="1" t="s">
        <v>239</v>
      </c>
    </row>
    <row r="126" spans="1:7" ht="28.8">
      <c r="A126" s="1" t="s">
        <v>683</v>
      </c>
      <c r="B126" s="2" t="s">
        <v>475</v>
      </c>
      <c r="F126" s="1" t="s">
        <v>506</v>
      </c>
      <c r="G126" s="1" t="s">
        <v>505</v>
      </c>
    </row>
    <row r="127" spans="1:7" ht="43.2">
      <c r="A127" s="1" t="s">
        <v>684</v>
      </c>
      <c r="B127" s="2" t="s">
        <v>507</v>
      </c>
      <c r="F127" s="1" t="s">
        <v>260</v>
      </c>
      <c r="G127" s="1" t="s">
        <v>260</v>
      </c>
    </row>
    <row r="128" spans="1:7" ht="28.8">
      <c r="A128" s="1" t="s">
        <v>685</v>
      </c>
      <c r="B128" s="2" t="s">
        <v>524</v>
      </c>
      <c r="F128" s="1" t="s">
        <v>507</v>
      </c>
      <c r="G128" s="1" t="s">
        <v>160</v>
      </c>
    </row>
    <row r="129" spans="1:7" ht="43.2">
      <c r="A129" s="1" t="s">
        <v>692</v>
      </c>
      <c r="B129" s="2" t="s">
        <v>440</v>
      </c>
      <c r="F129" s="1" t="s">
        <v>509</v>
      </c>
      <c r="G129" s="1" t="s">
        <v>508</v>
      </c>
    </row>
    <row r="130" spans="1:7">
      <c r="A130" s="1" t="s">
        <v>632</v>
      </c>
      <c r="B130" s="2" t="s">
        <v>465</v>
      </c>
      <c r="F130" s="1" t="s">
        <v>512</v>
      </c>
      <c r="G130" s="1" t="s">
        <v>511</v>
      </c>
    </row>
    <row r="131" spans="1:7" ht="43.2">
      <c r="A131" s="1" t="s">
        <v>693</v>
      </c>
      <c r="B131" s="2" t="s">
        <v>445</v>
      </c>
      <c r="F131" s="1" t="s">
        <v>514</v>
      </c>
      <c r="G131" s="1" t="s">
        <v>513</v>
      </c>
    </row>
    <row r="132" spans="1:7">
      <c r="A132" s="1" t="s">
        <v>694</v>
      </c>
      <c r="B132" s="2" t="s">
        <v>473</v>
      </c>
      <c r="F132" s="1" t="s">
        <v>277</v>
      </c>
      <c r="G132" s="1" t="s">
        <v>277</v>
      </c>
    </row>
    <row r="133" spans="1:7" ht="28.8">
      <c r="A133" s="1" t="s">
        <v>695</v>
      </c>
      <c r="B133" s="2" t="s">
        <v>477</v>
      </c>
      <c r="F133" s="1" t="s">
        <v>515</v>
      </c>
      <c r="G133" s="1" t="s">
        <v>70</v>
      </c>
    </row>
    <row r="134" spans="1:7" ht="57.6">
      <c r="A134" s="1" t="s">
        <v>696</v>
      </c>
      <c r="B134" s="2" t="s">
        <v>478</v>
      </c>
      <c r="F134" s="1" t="s">
        <v>517</v>
      </c>
      <c r="G134" s="1" t="s">
        <v>83</v>
      </c>
    </row>
    <row r="135" spans="1:7" ht="43.2">
      <c r="A135" s="1" t="s">
        <v>697</v>
      </c>
      <c r="B135" s="2" t="s">
        <v>421</v>
      </c>
      <c r="F135" s="1" t="s">
        <v>518</v>
      </c>
      <c r="G135" s="1" t="s">
        <v>118</v>
      </c>
    </row>
    <row r="136" spans="1:7" ht="28.8">
      <c r="A136" s="1" t="s">
        <v>698</v>
      </c>
      <c r="B136" s="2" t="s">
        <v>484</v>
      </c>
      <c r="F136" s="1" t="s">
        <v>519</v>
      </c>
      <c r="G136" s="1" t="s">
        <v>50</v>
      </c>
    </row>
    <row r="137" spans="1:7" ht="57.6">
      <c r="A137" s="1" t="s">
        <v>699</v>
      </c>
      <c r="B137" s="2" t="s">
        <v>442</v>
      </c>
      <c r="F137" s="1" t="s">
        <v>521</v>
      </c>
      <c r="G137" s="1" t="s">
        <v>178</v>
      </c>
    </row>
    <row r="138" spans="1:7" ht="57.6">
      <c r="A138" s="1" t="s">
        <v>700</v>
      </c>
      <c r="B138" s="2" t="s">
        <v>517</v>
      </c>
      <c r="F138" s="1" t="s">
        <v>524</v>
      </c>
      <c r="G138" s="1" t="s">
        <v>523</v>
      </c>
    </row>
    <row r="139" spans="1:7" ht="28.8">
      <c r="A139" s="1" t="s">
        <v>701</v>
      </c>
      <c r="B139" s="2" t="s">
        <v>528</v>
      </c>
      <c r="F139" s="1" t="s">
        <v>525</v>
      </c>
      <c r="G139" s="1" t="s">
        <v>525</v>
      </c>
    </row>
    <row r="140" spans="1:7" ht="57.6">
      <c r="A140" s="1" t="s">
        <v>702</v>
      </c>
      <c r="B140" s="2" t="s">
        <v>501</v>
      </c>
      <c r="F140" s="1" t="s">
        <v>526</v>
      </c>
      <c r="G140" s="1" t="s">
        <v>48</v>
      </c>
    </row>
    <row r="141" spans="1:7" ht="28.8">
      <c r="A141" s="1" t="s">
        <v>633</v>
      </c>
      <c r="B141" s="2" t="s">
        <v>469</v>
      </c>
      <c r="F141" s="1" t="s">
        <v>528</v>
      </c>
      <c r="G141" s="1" t="s">
        <v>114</v>
      </c>
    </row>
    <row r="142" spans="1:7" ht="28.8">
      <c r="A142" s="1" t="s">
        <v>731</v>
      </c>
      <c r="B142" s="2" t="s">
        <v>433</v>
      </c>
      <c r="F142" s="1" t="s">
        <v>26</v>
      </c>
      <c r="G142" s="1" t="s">
        <v>26</v>
      </c>
    </row>
    <row r="143" spans="1:7" ht="28.8">
      <c r="A143" s="1" t="s">
        <v>732</v>
      </c>
      <c r="B143" s="2" t="s">
        <v>439</v>
      </c>
      <c r="F143" s="1" t="s">
        <v>531</v>
      </c>
      <c r="G143" s="1" t="s">
        <v>530</v>
      </c>
    </row>
    <row r="144" spans="1:7" ht="28.8">
      <c r="A144" s="1" t="s">
        <v>733</v>
      </c>
      <c r="B144" s="2" t="s">
        <v>482</v>
      </c>
      <c r="F144" s="1" t="s">
        <v>532</v>
      </c>
      <c r="G144" s="1" t="s">
        <v>33</v>
      </c>
    </row>
    <row r="145" spans="1:7" ht="28.8">
      <c r="A145" s="1" t="s">
        <v>708</v>
      </c>
      <c r="B145" s="2" t="s">
        <v>447</v>
      </c>
      <c r="F145" s="1" t="s">
        <v>37</v>
      </c>
      <c r="G145" s="1" t="s">
        <v>37</v>
      </c>
    </row>
    <row r="146" spans="1:7" ht="28.8">
      <c r="A146" s="1" t="s">
        <v>709</v>
      </c>
      <c r="B146" s="2" t="s">
        <v>710</v>
      </c>
      <c r="F146" s="1" t="s">
        <v>534</v>
      </c>
      <c r="G146" s="1" t="s">
        <v>45</v>
      </c>
    </row>
    <row r="147" spans="1:7" ht="28.8">
      <c r="A147" s="1" t="s">
        <v>741</v>
      </c>
      <c r="B147" s="2" t="s">
        <v>419</v>
      </c>
      <c r="F147" s="1" t="s">
        <v>537</v>
      </c>
      <c r="G147" s="1" t="s">
        <v>536</v>
      </c>
    </row>
    <row r="148" spans="1:7" ht="43.2">
      <c r="A148" s="1" t="s">
        <v>742</v>
      </c>
      <c r="B148" s="2" t="s">
        <v>452</v>
      </c>
      <c r="F148" s="1" t="s">
        <v>60</v>
      </c>
      <c r="G148" s="1" t="s">
        <v>60</v>
      </c>
    </row>
    <row r="149" spans="1:7" ht="28.8">
      <c r="A149" s="1" t="s">
        <v>743</v>
      </c>
      <c r="B149" s="2" t="s">
        <v>454</v>
      </c>
      <c r="F149" s="1" t="s">
        <v>539</v>
      </c>
      <c r="G149" s="1" t="s">
        <v>270</v>
      </c>
    </row>
    <row r="150" spans="1:7">
      <c r="A150" s="1" t="s">
        <v>744</v>
      </c>
      <c r="B150" s="2" t="s">
        <v>479</v>
      </c>
      <c r="F150" s="1" t="s">
        <v>541</v>
      </c>
      <c r="G150" s="1" t="s">
        <v>64</v>
      </c>
    </row>
    <row r="151" spans="1:7" ht="28.8">
      <c r="A151" s="1" t="s">
        <v>745</v>
      </c>
      <c r="B151" s="2" t="s">
        <v>495</v>
      </c>
      <c r="F151" s="1" t="s">
        <v>543</v>
      </c>
      <c r="G151" s="1" t="s">
        <v>542</v>
      </c>
    </row>
    <row r="152" spans="1:7" ht="28.8">
      <c r="A152" s="1" t="s">
        <v>634</v>
      </c>
      <c r="B152" s="2" t="s">
        <v>481</v>
      </c>
      <c r="F152" s="1" t="s">
        <v>545</v>
      </c>
      <c r="G152" s="1" t="s">
        <v>544</v>
      </c>
    </row>
    <row r="153" spans="1:7" ht="43.2">
      <c r="A153" s="1" t="s">
        <v>746</v>
      </c>
      <c r="B153" s="2" t="s">
        <v>497</v>
      </c>
      <c r="F153" s="1" t="s">
        <v>98</v>
      </c>
      <c r="G153" s="1" t="s">
        <v>98</v>
      </c>
    </row>
    <row r="154" spans="1:7" ht="28.8">
      <c r="A154" s="1" t="s">
        <v>747</v>
      </c>
      <c r="B154" s="2" t="s">
        <v>503</v>
      </c>
      <c r="F154" s="1" t="s">
        <v>546</v>
      </c>
      <c r="G154" s="1" t="s">
        <v>14</v>
      </c>
    </row>
    <row r="155" spans="1:7">
      <c r="A155" s="1" t="s">
        <v>748</v>
      </c>
      <c r="B155" s="2" t="s">
        <v>514</v>
      </c>
      <c r="F155" s="1" t="s">
        <v>547</v>
      </c>
      <c r="G155" s="1" t="s">
        <v>105</v>
      </c>
    </row>
    <row r="156" spans="1:7" ht="43.2">
      <c r="A156" s="1" t="s">
        <v>749</v>
      </c>
      <c r="B156" s="2" t="s">
        <v>518</v>
      </c>
      <c r="F156" s="1" t="s">
        <v>549</v>
      </c>
      <c r="G156" s="1" t="s">
        <v>548</v>
      </c>
    </row>
    <row r="157" spans="1:7" ht="28.8">
      <c r="A157" s="1" t="s">
        <v>750</v>
      </c>
      <c r="B157" s="2" t="s">
        <v>521</v>
      </c>
      <c r="F157" s="1" t="s">
        <v>550</v>
      </c>
      <c r="G157" s="1" t="s">
        <v>550</v>
      </c>
    </row>
    <row r="158" spans="1:7" ht="43.2">
      <c r="A158" s="1" t="s">
        <v>751</v>
      </c>
      <c r="B158" s="2" t="s">
        <v>472</v>
      </c>
      <c r="F158" s="1" t="s">
        <v>551</v>
      </c>
      <c r="G158" s="1" t="s">
        <v>46</v>
      </c>
    </row>
    <row r="159" spans="1:7" ht="28.8">
      <c r="A159" s="1" t="s">
        <v>752</v>
      </c>
      <c r="B159" s="2" t="s">
        <v>512</v>
      </c>
      <c r="F159" s="1" t="s">
        <v>552</v>
      </c>
      <c r="G159" s="1" t="s">
        <v>52</v>
      </c>
    </row>
    <row r="160" spans="1:7" ht="28.8">
      <c r="A160" s="1" t="s">
        <v>757</v>
      </c>
      <c r="B160" s="2" t="s">
        <v>432</v>
      </c>
      <c r="F160" s="1" t="s">
        <v>553</v>
      </c>
      <c r="G160" s="1" t="s">
        <v>112</v>
      </c>
    </row>
    <row r="161" spans="1:7">
      <c r="A161" s="1" t="s">
        <v>762</v>
      </c>
      <c r="B161" s="2" t="s">
        <v>449</v>
      </c>
      <c r="F161" s="1" t="s">
        <v>555</v>
      </c>
      <c r="G161" s="1" t="s">
        <v>115</v>
      </c>
    </row>
    <row r="162" spans="1:7" ht="28.8">
      <c r="A162" s="1" t="s">
        <v>763</v>
      </c>
      <c r="B162" s="2" t="s">
        <v>456</v>
      </c>
      <c r="F162" s="1" t="s">
        <v>558</v>
      </c>
      <c r="G162" s="1" t="s">
        <v>557</v>
      </c>
    </row>
    <row r="163" spans="1:7">
      <c r="A163" s="1" t="s">
        <v>635</v>
      </c>
      <c r="B163" s="2" t="s">
        <v>515</v>
      </c>
      <c r="F163" s="1" t="s">
        <v>561</v>
      </c>
      <c r="G163" s="1" t="s">
        <v>560</v>
      </c>
    </row>
    <row r="164" spans="1:7" ht="28.8">
      <c r="A164" s="1" t="s">
        <v>764</v>
      </c>
      <c r="B164" s="2" t="s">
        <v>459</v>
      </c>
      <c r="F164" s="1" t="s">
        <v>125</v>
      </c>
      <c r="G164" s="1" t="s">
        <v>125</v>
      </c>
    </row>
    <row r="165" spans="1:7" ht="28.8">
      <c r="A165" s="1" t="s">
        <v>765</v>
      </c>
      <c r="B165" s="2" t="s">
        <v>461</v>
      </c>
      <c r="F165" s="1" t="s">
        <v>563</v>
      </c>
      <c r="G165" s="1" t="s">
        <v>121</v>
      </c>
    </row>
    <row r="166" spans="1:7" ht="28.8">
      <c r="A166" s="1" t="s">
        <v>766</v>
      </c>
      <c r="B166" s="2" t="s">
        <v>470</v>
      </c>
      <c r="F166" s="1" t="s">
        <v>564</v>
      </c>
      <c r="G166" s="1" t="s">
        <v>131</v>
      </c>
    </row>
    <row r="167" spans="1:7">
      <c r="A167" s="1" t="s">
        <v>767</v>
      </c>
      <c r="B167" s="2" t="s">
        <v>492</v>
      </c>
      <c r="F167" s="1" t="s">
        <v>144</v>
      </c>
      <c r="G167" s="1" t="s">
        <v>144</v>
      </c>
    </row>
    <row r="168" spans="1:7">
      <c r="A168" s="1" t="s">
        <v>770</v>
      </c>
      <c r="B168" s="2" t="s">
        <v>435</v>
      </c>
      <c r="F168" s="1" t="s">
        <v>147</v>
      </c>
      <c r="G168" s="1" t="s">
        <v>147</v>
      </c>
    </row>
    <row r="169" spans="1:7" ht="28.8">
      <c r="A169" s="1" t="s">
        <v>771</v>
      </c>
      <c r="B169" s="2" t="s">
        <v>425</v>
      </c>
      <c r="F169" s="1" t="s">
        <v>566</v>
      </c>
      <c r="G169" s="1" t="s">
        <v>156</v>
      </c>
    </row>
    <row r="170" spans="1:7" ht="28.8">
      <c r="A170" s="1" t="s">
        <v>777</v>
      </c>
      <c r="B170" s="2" t="s">
        <v>509</v>
      </c>
      <c r="F170" s="1" t="s">
        <v>567</v>
      </c>
      <c r="G170" s="1" t="s">
        <v>12</v>
      </c>
    </row>
    <row r="171" spans="1:7">
      <c r="A171" s="1" t="s">
        <v>819</v>
      </c>
      <c r="B171" s="2" t="s">
        <v>75</v>
      </c>
      <c r="F171" s="1" t="s">
        <v>569</v>
      </c>
      <c r="G171" s="1" t="s">
        <v>9</v>
      </c>
    </row>
    <row r="172" spans="1:7">
      <c r="A172" s="1" t="s">
        <v>820</v>
      </c>
      <c r="B172" s="2" t="s">
        <v>85</v>
      </c>
      <c r="F172" s="1" t="s">
        <v>571</v>
      </c>
      <c r="G172" s="1" t="s">
        <v>43</v>
      </c>
    </row>
    <row r="173" spans="1:7">
      <c r="A173" s="1" t="s">
        <v>821</v>
      </c>
      <c r="B173" s="2" t="s">
        <v>86</v>
      </c>
      <c r="F173" s="1" t="s">
        <v>572</v>
      </c>
      <c r="G173" s="1" t="s">
        <v>88</v>
      </c>
    </row>
    <row r="174" spans="1:7" ht="28.8">
      <c r="A174" s="1" t="s">
        <v>636</v>
      </c>
      <c r="B174" s="2" t="s">
        <v>519</v>
      </c>
      <c r="F174" s="1" t="s">
        <v>573</v>
      </c>
      <c r="G174" s="1" t="s">
        <v>138</v>
      </c>
    </row>
    <row r="175" spans="1:7">
      <c r="A175" s="1" t="s">
        <v>822</v>
      </c>
      <c r="B175" s="2" t="s">
        <v>467</v>
      </c>
      <c r="F175" s="1" t="s">
        <v>575</v>
      </c>
      <c r="G175" s="1" t="s">
        <v>149</v>
      </c>
    </row>
    <row r="176" spans="1:7">
      <c r="A176" s="1" t="s">
        <v>823</v>
      </c>
      <c r="B176" s="2" t="s">
        <v>489</v>
      </c>
      <c r="F176" s="1" t="s">
        <v>576</v>
      </c>
      <c r="G176" s="1" t="s">
        <v>174</v>
      </c>
    </row>
    <row r="177" spans="1:7">
      <c r="A177" s="1" t="s">
        <v>824</v>
      </c>
      <c r="B177" s="2" t="s">
        <v>260</v>
      </c>
      <c r="F177" s="1" t="s">
        <v>577</v>
      </c>
      <c r="G177" s="1" t="s">
        <v>158</v>
      </c>
    </row>
    <row r="178" spans="1:7">
      <c r="A178" s="1" t="s">
        <v>825</v>
      </c>
      <c r="B178" s="2" t="s">
        <v>277</v>
      </c>
      <c r="F178" s="1" t="s">
        <v>578</v>
      </c>
      <c r="G178" s="1" t="s">
        <v>188</v>
      </c>
    </row>
    <row r="179" spans="1:7" ht="28.8">
      <c r="A179" s="1" t="s">
        <v>797</v>
      </c>
      <c r="B179" s="2" t="s">
        <v>423</v>
      </c>
      <c r="F179" s="1" t="s">
        <v>579</v>
      </c>
      <c r="G179" s="1" t="s">
        <v>198</v>
      </c>
    </row>
    <row r="180" spans="1:7" ht="28.8">
      <c r="A180" s="1" t="s">
        <v>798</v>
      </c>
      <c r="B180" s="2" t="s">
        <v>490</v>
      </c>
      <c r="F180" s="1" t="s">
        <v>580</v>
      </c>
      <c r="G180" s="1" t="s">
        <v>243</v>
      </c>
    </row>
    <row r="181" spans="1:7" ht="28.8">
      <c r="A181" s="1" t="s">
        <v>832</v>
      </c>
      <c r="B181" s="2" t="s">
        <v>487</v>
      </c>
      <c r="F181" s="1" t="s">
        <v>581</v>
      </c>
      <c r="G181" s="1" t="s">
        <v>245</v>
      </c>
    </row>
    <row r="182" spans="1:7" ht="28.8">
      <c r="A182" s="1" t="s">
        <v>833</v>
      </c>
      <c r="B182" s="2" t="s">
        <v>437</v>
      </c>
      <c r="F182" s="1" t="s">
        <v>582</v>
      </c>
      <c r="G182" s="1" t="s">
        <v>247</v>
      </c>
    </row>
    <row r="183" spans="1:7">
      <c r="A183" s="1" t="s">
        <v>837</v>
      </c>
      <c r="B183" s="2" t="s">
        <v>444</v>
      </c>
      <c r="F183" s="1" t="s">
        <v>176</v>
      </c>
      <c r="G183" s="1" t="s">
        <v>176</v>
      </c>
    </row>
    <row r="184" spans="1:7">
      <c r="A184" s="1" t="s">
        <v>637</v>
      </c>
      <c r="B184" s="2" t="s">
        <v>525</v>
      </c>
      <c r="F184" s="1" t="s">
        <v>583</v>
      </c>
      <c r="G184" s="1" t="s">
        <v>182</v>
      </c>
    </row>
    <row r="185" spans="1:7">
      <c r="A185" s="1" t="s">
        <v>644</v>
      </c>
      <c r="B185" s="2" t="s">
        <v>191</v>
      </c>
      <c r="F185" s="1" t="s">
        <v>584</v>
      </c>
      <c r="G185" s="1" t="s">
        <v>200</v>
      </c>
    </row>
    <row r="186" spans="1:7">
      <c r="A186" s="1" t="s">
        <v>638</v>
      </c>
      <c r="B186" s="2" t="s">
        <v>526</v>
      </c>
      <c r="F186" s="1" t="s">
        <v>585</v>
      </c>
      <c r="G186" s="1" t="s">
        <v>213</v>
      </c>
    </row>
    <row r="187" spans="1:7" ht="28.8">
      <c r="A187" s="1" t="s">
        <v>672</v>
      </c>
      <c r="B187" s="2" t="s">
        <v>314</v>
      </c>
      <c r="F187" s="1" t="s">
        <v>586</v>
      </c>
      <c r="G187" s="1" t="s">
        <v>217</v>
      </c>
    </row>
    <row r="188" spans="1:7" ht="43.2">
      <c r="A188" s="1" t="s">
        <v>711</v>
      </c>
      <c r="B188" s="2" t="s">
        <v>306</v>
      </c>
      <c r="F188" s="1" t="s">
        <v>588</v>
      </c>
      <c r="G188" s="1" t="s">
        <v>219</v>
      </c>
    </row>
    <row r="189" spans="1:7" ht="43.2">
      <c r="A189" s="1" t="s">
        <v>712</v>
      </c>
      <c r="B189" s="2" t="s">
        <v>307</v>
      </c>
      <c r="F189" s="1" t="s">
        <v>590</v>
      </c>
      <c r="G189" s="1" t="s">
        <v>229</v>
      </c>
    </row>
    <row r="190" spans="1:7">
      <c r="A190" s="1" t="s">
        <v>713</v>
      </c>
      <c r="B190" s="2" t="s">
        <v>308</v>
      </c>
      <c r="F190" s="1" t="s">
        <v>592</v>
      </c>
      <c r="G190" s="1" t="s">
        <v>231</v>
      </c>
    </row>
    <row r="191" spans="1:7" ht="28.8">
      <c r="A191" s="1" t="s">
        <v>835</v>
      </c>
      <c r="B191" s="2" t="s">
        <v>311</v>
      </c>
      <c r="F191" s="1" t="s">
        <v>254</v>
      </c>
      <c r="G191" s="1" t="s">
        <v>254</v>
      </c>
    </row>
    <row r="192" spans="1:7">
      <c r="A192" s="1" t="s">
        <v>673</v>
      </c>
      <c r="B192" s="2" t="s">
        <v>312</v>
      </c>
      <c r="F192" s="1" t="s">
        <v>593</v>
      </c>
      <c r="G192" s="1" t="s">
        <v>593</v>
      </c>
    </row>
    <row r="193" spans="1:7">
      <c r="A193" s="1" t="s">
        <v>674</v>
      </c>
      <c r="B193" s="2" t="s">
        <v>315</v>
      </c>
      <c r="F193" s="1" t="s">
        <v>595</v>
      </c>
      <c r="G193" s="1" t="s">
        <v>258</v>
      </c>
    </row>
    <row r="194" spans="1:7" ht="28.8">
      <c r="A194" s="1" t="s">
        <v>703</v>
      </c>
      <c r="B194" s="2" t="s">
        <v>309</v>
      </c>
      <c r="F194" s="1" t="s">
        <v>272</v>
      </c>
      <c r="G194" s="1" t="s">
        <v>272</v>
      </c>
    </row>
    <row r="195" spans="1:7" ht="28.8">
      <c r="A195" s="1" t="s">
        <v>704</v>
      </c>
      <c r="B195" s="2" t="s">
        <v>319</v>
      </c>
      <c r="F195" s="1" t="s">
        <v>273</v>
      </c>
      <c r="G195" s="1" t="s">
        <v>273</v>
      </c>
    </row>
    <row r="196" spans="1:7" ht="28.8">
      <c r="A196" s="1" t="s">
        <v>734</v>
      </c>
      <c r="B196" s="2" t="s">
        <v>317</v>
      </c>
      <c r="F196" s="1" t="s">
        <v>283</v>
      </c>
      <c r="G196" s="1" t="s">
        <v>283</v>
      </c>
    </row>
    <row r="197" spans="1:7" ht="57.6">
      <c r="A197" s="1" t="s">
        <v>714</v>
      </c>
      <c r="B197" s="2" t="s">
        <v>303</v>
      </c>
      <c r="F197" s="1" t="s">
        <v>284</v>
      </c>
      <c r="G197" s="1" t="s">
        <v>284</v>
      </c>
    </row>
    <row r="198" spans="1:7" ht="28.8">
      <c r="A198" s="1" t="s">
        <v>715</v>
      </c>
      <c r="B198" s="2" t="s">
        <v>304</v>
      </c>
      <c r="F198" s="1" t="s">
        <v>597</v>
      </c>
      <c r="G198" s="1" t="s">
        <v>596</v>
      </c>
    </row>
    <row r="199" spans="1:7" ht="28.8">
      <c r="A199" s="1" t="s">
        <v>716</v>
      </c>
      <c r="B199" s="2" t="s">
        <v>305</v>
      </c>
      <c r="F199" s="1" t="s">
        <v>287</v>
      </c>
      <c r="G199" s="1" t="s">
        <v>287</v>
      </c>
    </row>
    <row r="200" spans="1:7">
      <c r="A200" s="1" t="s">
        <v>639</v>
      </c>
      <c r="B200" s="2" t="s">
        <v>107</v>
      </c>
      <c r="F200" s="1" t="s">
        <v>598</v>
      </c>
      <c r="G200" s="1" t="s">
        <v>56</v>
      </c>
    </row>
    <row r="201" spans="1:7" ht="28.8">
      <c r="A201" s="1" t="s">
        <v>772</v>
      </c>
      <c r="B201" s="2" t="s">
        <v>600</v>
      </c>
      <c r="F201" s="1" t="s">
        <v>600</v>
      </c>
      <c r="G201" s="1" t="s">
        <v>94</v>
      </c>
    </row>
    <row r="202" spans="1:7" ht="28.8">
      <c r="A202" s="1" t="s">
        <v>773</v>
      </c>
      <c r="B202" s="2" t="s">
        <v>617</v>
      </c>
      <c r="F202" s="1" t="s">
        <v>107</v>
      </c>
      <c r="G202" s="1" t="s">
        <v>107</v>
      </c>
    </row>
    <row r="203" spans="1:7">
      <c r="A203" s="1" t="s">
        <v>778</v>
      </c>
      <c r="B203" s="2" t="s">
        <v>223</v>
      </c>
      <c r="F203" s="1" t="s">
        <v>132</v>
      </c>
      <c r="G203" s="1" t="s">
        <v>132</v>
      </c>
    </row>
    <row r="204" spans="1:7">
      <c r="A204" s="1" t="s">
        <v>779</v>
      </c>
      <c r="B204" s="2" t="s">
        <v>225</v>
      </c>
      <c r="F204" s="1" t="s">
        <v>602</v>
      </c>
      <c r="G204" s="1" t="s">
        <v>19</v>
      </c>
    </row>
    <row r="205" spans="1:7">
      <c r="A205" s="1" t="s">
        <v>826</v>
      </c>
      <c r="B205" s="2" t="s">
        <v>598</v>
      </c>
      <c r="F205" s="1" t="s">
        <v>603</v>
      </c>
      <c r="G205" s="1" t="s">
        <v>216</v>
      </c>
    </row>
    <row r="206" spans="1:7">
      <c r="A206" s="1" t="s">
        <v>827</v>
      </c>
      <c r="B206" s="2" t="s">
        <v>604</v>
      </c>
      <c r="F206" s="1" t="s">
        <v>215</v>
      </c>
      <c r="G206" s="1" t="s">
        <v>215</v>
      </c>
    </row>
    <row r="207" spans="1:7">
      <c r="A207" s="1" t="s">
        <v>828</v>
      </c>
      <c r="B207" s="2" t="s">
        <v>227</v>
      </c>
      <c r="F207" s="1" t="s">
        <v>604</v>
      </c>
      <c r="G207" s="1" t="s">
        <v>221</v>
      </c>
    </row>
    <row r="208" spans="1:7">
      <c r="A208" s="1" t="s">
        <v>829</v>
      </c>
      <c r="B208" s="2" t="s">
        <v>132</v>
      </c>
      <c r="F208" s="1" t="s">
        <v>223</v>
      </c>
      <c r="G208" s="1" t="s">
        <v>223</v>
      </c>
    </row>
    <row r="209" spans="1:7">
      <c r="A209" s="1" t="s">
        <v>830</v>
      </c>
      <c r="B209" s="2" t="s">
        <v>256</v>
      </c>
      <c r="F209" s="1" t="s">
        <v>225</v>
      </c>
      <c r="G209" s="1" t="s">
        <v>225</v>
      </c>
    </row>
    <row r="210" spans="1:7">
      <c r="A210" s="1" t="s">
        <v>838</v>
      </c>
      <c r="B210" s="2" t="s">
        <v>215</v>
      </c>
      <c r="F210" s="1" t="s">
        <v>227</v>
      </c>
      <c r="G210" s="1" t="s">
        <v>227</v>
      </c>
    </row>
    <row r="211" spans="1:7" ht="28.8">
      <c r="A211" s="1" t="s">
        <v>705</v>
      </c>
      <c r="B211" s="2" t="s">
        <v>607</v>
      </c>
      <c r="F211" s="1" t="s">
        <v>606</v>
      </c>
      <c r="G211" s="1" t="s">
        <v>232</v>
      </c>
    </row>
    <row r="212" spans="1:7">
      <c r="A212" s="1" t="s">
        <v>839</v>
      </c>
      <c r="B212" s="2" t="s">
        <v>252</v>
      </c>
      <c r="F212" s="1" t="s">
        <v>607</v>
      </c>
      <c r="G212" s="1" t="s">
        <v>250</v>
      </c>
    </row>
    <row r="213" spans="1:7" ht="28.8">
      <c r="A213" s="1" t="s">
        <v>735</v>
      </c>
      <c r="B213" s="2" t="s">
        <v>603</v>
      </c>
      <c r="F213" s="1" t="s">
        <v>252</v>
      </c>
      <c r="G213" s="1" t="s">
        <v>252</v>
      </c>
    </row>
    <row r="214" spans="1:7" ht="28.8">
      <c r="A214" s="1" t="s">
        <v>753</v>
      </c>
      <c r="B214" s="2" t="s">
        <v>602</v>
      </c>
      <c r="F214" s="1" t="s">
        <v>256</v>
      </c>
      <c r="G214" s="1" t="s">
        <v>256</v>
      </c>
    </row>
    <row r="215" spans="1:7" ht="28.8">
      <c r="A215" s="1" t="s">
        <v>754</v>
      </c>
      <c r="B215" s="2" t="s">
        <v>606</v>
      </c>
      <c r="F215" s="1" t="s">
        <v>610</v>
      </c>
      <c r="G215" s="1" t="s">
        <v>609</v>
      </c>
    </row>
    <row r="216" spans="1:7" ht="28.8">
      <c r="A216" s="1" t="s">
        <v>755</v>
      </c>
      <c r="B216" s="2" t="s">
        <v>618</v>
      </c>
      <c r="F216" s="1" t="s">
        <v>613</v>
      </c>
      <c r="G216" s="1" t="s">
        <v>612</v>
      </c>
    </row>
    <row r="217" spans="1:7" ht="57.6">
      <c r="A217" s="1" t="s">
        <v>758</v>
      </c>
      <c r="B217" s="2" t="s">
        <v>610</v>
      </c>
      <c r="F217" s="1" t="s">
        <v>615</v>
      </c>
      <c r="G217" s="1" t="s">
        <v>279</v>
      </c>
    </row>
    <row r="218" spans="1:7" ht="57.6">
      <c r="A218" s="1" t="s">
        <v>759</v>
      </c>
      <c r="B218" s="2" t="s">
        <v>613</v>
      </c>
      <c r="F218" s="1" t="s">
        <v>617</v>
      </c>
      <c r="G218" s="1" t="s">
        <v>286</v>
      </c>
    </row>
    <row r="219" spans="1:7" ht="43.2">
      <c r="A219" s="1" t="s">
        <v>760</v>
      </c>
      <c r="B219" s="2" t="s">
        <v>615</v>
      </c>
      <c r="F219" s="1" t="s">
        <v>618</v>
      </c>
      <c r="G219" s="1"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sheet-for upload-working</vt:lpstr>
      <vt:lpstr>collected data-merged</vt:lpstr>
      <vt:lpstr>Population cible</vt:lpstr>
      <vt:lpstr>SHEET READY FOR UPLOAD</vt:lpstr>
      <vt:lpstr>IHME prevalence</vt:lpstr>
      <vt:lpstr>DCP3 causes and BoD CIV</vt:lpstr>
      <vt:lpstr>UN population</vt:lpstr>
      <vt:lpstr>NHA</vt:lpstr>
      <vt:lpstr>FULL REFERENCE</vt:lpstr>
      <vt:lpstr>Master</vt:lpstr>
      <vt:lpstr>intervention list HIP</vt:lpstr>
      <vt:lpstr>Vaccine unit costs</vt:lpstr>
      <vt:lpstr>code matching</vt:lpstr>
      <vt:lpstr>Intervention names</vt:lpstr>
      <vt:lpstr>FCFA_US__exchange</vt:lpstr>
      <vt:lpstr>increase_in_actual_to_target_coverage_for_NCDs</vt:lpstr>
      <vt:lpstr>Quality_reduction</vt:lpstr>
      <vt:lpstr>Salary_CIV_cost_uplift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Isidore</dc:creator>
  <cp:lastModifiedBy>Denizhan Duran</cp:lastModifiedBy>
  <dcterms:created xsi:type="dcterms:W3CDTF">2019-03-20T02:24:53Z</dcterms:created>
  <dcterms:modified xsi:type="dcterms:W3CDTF">2019-09-26T15:53:28Z</dcterms:modified>
</cp:coreProperties>
</file>