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ssanhaghparastbidgoli/Dropbox/Optima UHC/HSP Tool Trainings/HSP tool training projects/"/>
    </mc:Choice>
  </mc:AlternateContent>
  <xr:revisionPtr revIDLastSave="0" documentId="10_ncr:8100000_{837AD5B6-D970-2F48-90B7-79D0AAFD1E40}" xr6:coauthVersionLast="34" xr6:coauthVersionMax="36" xr10:uidLastSave="{00000000-0000-0000-0000-000000000000}"/>
  <bookViews>
    <workbookView xWindow="0" yWindow="460" windowWidth="25600" windowHeight="14880" tabRatio="500" xr2:uid="{00000000-000D-0000-FFFF-FFFF00000000}"/>
  </bookViews>
  <sheets>
    <sheet name="Selected interventions" sheetId="14" r:id="rId1"/>
    <sheet name="Clean with new spending" sheetId="18" r:id="rId2"/>
    <sheet name="BOD" sheetId="16" r:id="rId3"/>
    <sheet name="Sheet2" sheetId="15" r:id="rId4"/>
  </sheets>
  <definedNames>
    <definedName name="_xlnm._FilterDatabase" localSheetId="1" hidden="1">'Clean with new spending'!$A$1:$Z$30</definedName>
    <definedName name="_xlnm._FilterDatabase" localSheetId="0" hidden="1">'Selected interventions'!$A$1:$Z$30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4" l="1"/>
  <c r="AE2" i="14"/>
  <c r="AC2" i="14"/>
  <c r="AM3" i="14"/>
  <c r="AN3" i="14" s="1"/>
  <c r="AB3" i="14"/>
  <c r="Z31" i="18"/>
  <c r="Z30" i="18"/>
  <c r="Z29" i="18"/>
  <c r="Z28" i="18"/>
  <c r="Z27" i="18"/>
  <c r="Z25" i="18"/>
  <c r="Z24" i="18"/>
  <c r="Z23" i="18"/>
  <c r="Z22" i="18"/>
  <c r="Z21" i="18"/>
  <c r="Z20" i="18"/>
  <c r="Z19" i="18"/>
  <c r="Z18" i="18"/>
  <c r="Z17" i="18"/>
  <c r="Z16" i="18"/>
  <c r="Z15" i="18"/>
  <c r="L15" i="18"/>
  <c r="Z14" i="18"/>
  <c r="L14" i="18"/>
  <c r="Z13" i="18"/>
  <c r="Z12" i="18"/>
  <c r="Z11" i="18"/>
  <c r="Z10" i="18"/>
  <c r="Z9" i="18"/>
  <c r="Z8" i="18"/>
  <c r="Z7" i="18"/>
  <c r="Z4" i="18"/>
  <c r="Z2" i="18"/>
  <c r="N33" i="14"/>
  <c r="AQ28" i="14"/>
  <c r="AR28" i="14" s="1"/>
  <c r="AQ25" i="14"/>
  <c r="AR25" i="14" s="1"/>
  <c r="AB28" i="14"/>
  <c r="AM28" i="14" s="1"/>
  <c r="AN28" i="14" s="1"/>
  <c r="AO28" i="14" s="1"/>
  <c r="AB25" i="14"/>
  <c r="AM25" i="14" s="1"/>
  <c r="AN25" i="14" s="1"/>
  <c r="AO25" i="14" s="1"/>
  <c r="Z25" i="14"/>
  <c r="Z28" i="14"/>
  <c r="AQ31" i="14"/>
  <c r="AR31" i="14" s="1"/>
  <c r="Z31" i="14"/>
  <c r="AB31" i="14" s="1"/>
  <c r="AM31" i="14" s="1"/>
  <c r="L14" i="14"/>
  <c r="Z15" i="14"/>
  <c r="L15" i="14"/>
  <c r="AQ2" i="14"/>
  <c r="AQ29" i="14"/>
  <c r="AR29" i="14" s="1"/>
  <c r="AQ24" i="14"/>
  <c r="AR24" i="14" s="1"/>
  <c r="AQ8" i="14"/>
  <c r="AR8" i="14" s="1"/>
  <c r="Z29" i="14"/>
  <c r="AB29" i="14" s="1"/>
  <c r="AM29" i="14" s="1"/>
  <c r="Z24" i="14"/>
  <c r="AB24" i="14" s="1"/>
  <c r="AM24" i="14" s="1"/>
  <c r="AN24" i="14" s="1"/>
  <c r="AO24" i="14" s="1"/>
  <c r="Z8" i="14"/>
  <c r="AB8" i="14" s="1"/>
  <c r="AM8" i="14" s="1"/>
  <c r="AN8" i="14" s="1"/>
  <c r="AO8" i="14" s="1"/>
  <c r="AN31" i="14" l="1"/>
  <c r="AR2" i="14"/>
  <c r="AO3" i="14"/>
  <c r="AQ3" i="14"/>
  <c r="AR3" i="14" s="1"/>
  <c r="AQ4" i="14"/>
  <c r="AR4" i="14" s="1"/>
  <c r="AQ5" i="14"/>
  <c r="AR5" i="14" s="1"/>
  <c r="AQ6" i="14"/>
  <c r="AR6" i="14" s="1"/>
  <c r="AQ7" i="14"/>
  <c r="AR7" i="14" s="1"/>
  <c r="AQ9" i="14"/>
  <c r="AR9" i="14" s="1"/>
  <c r="AQ10" i="14"/>
  <c r="AR10" i="14" s="1"/>
  <c r="AQ11" i="14"/>
  <c r="AR11" i="14" s="1"/>
  <c r="AQ12" i="14"/>
  <c r="AQ13" i="14"/>
  <c r="AR13" i="14" s="1"/>
  <c r="AQ14" i="14"/>
  <c r="AR14" i="14" s="1"/>
  <c r="AQ15" i="14"/>
  <c r="AR15" i="14" s="1"/>
  <c r="AQ16" i="14"/>
  <c r="AR16" i="14" s="1"/>
  <c r="AQ17" i="14"/>
  <c r="AR17" i="14" s="1"/>
  <c r="AQ18" i="14"/>
  <c r="AR18" i="14" s="1"/>
  <c r="AQ19" i="14"/>
  <c r="AR19" i="14" s="1"/>
  <c r="AQ20" i="14"/>
  <c r="AR20" i="14" s="1"/>
  <c r="AQ21" i="14"/>
  <c r="AR21" i="14" s="1"/>
  <c r="AQ22" i="14"/>
  <c r="AR22" i="14" s="1"/>
  <c r="AQ23" i="14"/>
  <c r="AR23" i="14" s="1"/>
  <c r="AQ26" i="14"/>
  <c r="AR26" i="14" s="1"/>
  <c r="AQ27" i="14"/>
  <c r="AR27" i="14" s="1"/>
  <c r="AQ30" i="14"/>
  <c r="AR30" i="14" s="1"/>
  <c r="AB5" i="14"/>
  <c r="AM5" i="14" s="1"/>
  <c r="AN5" i="14" s="1"/>
  <c r="AO5" i="14" s="1"/>
  <c r="AB6" i="14"/>
  <c r="AM6" i="14" s="1"/>
  <c r="AN6" i="14" s="1"/>
  <c r="AO6" i="14" s="1"/>
  <c r="AB26" i="14"/>
  <c r="AM26" i="14" s="1"/>
  <c r="AN26" i="14" s="1"/>
  <c r="AO26" i="14" s="1"/>
  <c r="AQ33" i="14" l="1"/>
  <c r="AO31" i="14"/>
  <c r="AN29" i="14"/>
  <c r="AO29" i="14" s="1"/>
  <c r="Z11" i="14"/>
  <c r="AB11" i="14" s="1"/>
  <c r="AM11" i="14" s="1"/>
  <c r="AN11" i="14" s="1"/>
  <c r="AO11" i="14" s="1"/>
  <c r="AK12" i="14"/>
  <c r="AJ12" i="14"/>
  <c r="AI12" i="14"/>
  <c r="AR12" i="14" s="1"/>
  <c r="Z4" i="14"/>
  <c r="AB4" i="14" s="1"/>
  <c r="AM4" i="14" s="1"/>
  <c r="AN4" i="14" s="1"/>
  <c r="Z2" i="14"/>
  <c r="AB2" i="14" s="1"/>
  <c r="AO4" i="14" l="1"/>
  <c r="AM2" i="14"/>
  <c r="T211" i="15"/>
  <c r="T195" i="15"/>
  <c r="T194" i="15"/>
  <c r="T193" i="15"/>
  <c r="T192" i="15"/>
  <c r="T191" i="15"/>
  <c r="T187" i="15"/>
  <c r="T186" i="15"/>
  <c r="T185" i="15"/>
  <c r="T183" i="15"/>
  <c r="T181" i="15"/>
  <c r="T179" i="15"/>
  <c r="T174" i="15"/>
  <c r="T172" i="15"/>
  <c r="T171" i="15"/>
  <c r="T166" i="15"/>
  <c r="T164" i="15"/>
  <c r="T163" i="15"/>
  <c r="T162" i="15"/>
  <c r="T158" i="15"/>
  <c r="T157" i="15"/>
  <c r="T156" i="15"/>
  <c r="T153" i="15"/>
  <c r="T144" i="15"/>
  <c r="T142" i="15"/>
  <c r="T141" i="15"/>
  <c r="T140" i="15"/>
  <c r="T139" i="15"/>
  <c r="S139" i="15"/>
  <c r="R139" i="15"/>
  <c r="Q139" i="15"/>
  <c r="T138" i="15"/>
  <c r="T137" i="15"/>
  <c r="T134" i="15"/>
  <c r="T130" i="15"/>
  <c r="T127" i="15"/>
  <c r="T124" i="15"/>
  <c r="T123" i="15"/>
  <c r="T122" i="15"/>
  <c r="T121" i="15"/>
  <c r="T120" i="15"/>
  <c r="T119" i="15"/>
  <c r="T118" i="15"/>
  <c r="T116" i="15"/>
  <c r="T106" i="15"/>
  <c r="T105" i="15"/>
  <c r="T103" i="15"/>
  <c r="T100" i="15"/>
  <c r="T99" i="15"/>
  <c r="T97" i="15"/>
  <c r="T96" i="15"/>
  <c r="T95" i="15"/>
  <c r="T94" i="15"/>
  <c r="T93" i="15"/>
  <c r="T92" i="15"/>
  <c r="T91" i="15"/>
  <c r="T90" i="15"/>
  <c r="T88" i="15"/>
  <c r="T86" i="15"/>
  <c r="T85" i="15"/>
  <c r="T83" i="15"/>
  <c r="T79" i="15"/>
  <c r="T77" i="15"/>
  <c r="T76" i="15"/>
  <c r="T72" i="15"/>
  <c r="T70" i="15"/>
  <c r="T69" i="15"/>
  <c r="T68" i="15"/>
  <c r="T66" i="15"/>
  <c r="T64" i="15"/>
  <c r="T60" i="15"/>
  <c r="T59" i="15"/>
  <c r="T58" i="15"/>
  <c r="T57" i="15"/>
  <c r="T51" i="15"/>
  <c r="T48" i="15"/>
  <c r="T46" i="15"/>
  <c r="T38" i="15"/>
  <c r="T35" i="15"/>
  <c r="T34" i="15"/>
  <c r="T33" i="15"/>
  <c r="T31" i="15"/>
  <c r="T30" i="15"/>
  <c r="T27" i="15"/>
  <c r="T24" i="15"/>
  <c r="T22" i="15"/>
  <c r="T21" i="15"/>
  <c r="T17" i="15"/>
  <c r="T13" i="15"/>
  <c r="T10" i="15"/>
  <c r="T9" i="15"/>
  <c r="T5" i="15"/>
  <c r="T3" i="15"/>
  <c r="T2" i="15"/>
  <c r="AN2" i="14" l="1"/>
  <c r="Z23" i="14"/>
  <c r="AB23" i="14" s="1"/>
  <c r="AM23" i="14" s="1"/>
  <c r="AN23" i="14" s="1"/>
  <c r="AO23" i="14" s="1"/>
  <c r="Z30" i="14"/>
  <c r="Z10" i="14"/>
  <c r="AB10" i="14" s="1"/>
  <c r="AM10" i="14" s="1"/>
  <c r="AN10" i="14" s="1"/>
  <c r="AO10" i="14" s="1"/>
  <c r="Z18" i="14"/>
  <c r="AB18" i="14" s="1"/>
  <c r="AM18" i="14" s="1"/>
  <c r="AN18" i="14" s="1"/>
  <c r="AO18" i="14" s="1"/>
  <c r="Z21" i="14"/>
  <c r="AB21" i="14" s="1"/>
  <c r="AM21" i="14" s="1"/>
  <c r="AN21" i="14" s="1"/>
  <c r="AO21" i="14" s="1"/>
  <c r="Z20" i="14"/>
  <c r="AB20" i="14" s="1"/>
  <c r="AM20" i="14" s="1"/>
  <c r="AN20" i="14" s="1"/>
  <c r="AO20" i="14" s="1"/>
  <c r="Z9" i="14"/>
  <c r="AB9" i="14" s="1"/>
  <c r="AM9" i="14" s="1"/>
  <c r="AN9" i="14" s="1"/>
  <c r="AO9" i="14" s="1"/>
  <c r="Z12" i="14"/>
  <c r="AB12" i="14" s="1"/>
  <c r="AM12" i="14" s="1"/>
  <c r="AN12" i="14" s="1"/>
  <c r="AO12" i="14" s="1"/>
  <c r="AB15" i="14"/>
  <c r="AM15" i="14" s="1"/>
  <c r="AN15" i="14" s="1"/>
  <c r="AO15" i="14" s="1"/>
  <c r="Z14" i="14"/>
  <c r="AB14" i="14" s="1"/>
  <c r="AM14" i="14" s="1"/>
  <c r="AN14" i="14" s="1"/>
  <c r="AO14" i="14" s="1"/>
  <c r="Z22" i="14"/>
  <c r="AB22" i="14" s="1"/>
  <c r="AM22" i="14" s="1"/>
  <c r="AN22" i="14" s="1"/>
  <c r="AO22" i="14" s="1"/>
  <c r="Z7" i="14"/>
  <c r="AB7" i="14" s="1"/>
  <c r="AM7" i="14" s="1"/>
  <c r="Z27" i="14"/>
  <c r="Z13" i="14"/>
  <c r="AB13" i="14" s="1"/>
  <c r="AM13" i="14" s="1"/>
  <c r="AN13" i="14" s="1"/>
  <c r="AO13" i="14" s="1"/>
  <c r="Z19" i="14"/>
  <c r="AB19" i="14" s="1"/>
  <c r="AM19" i="14" s="1"/>
  <c r="AN19" i="14" s="1"/>
  <c r="AO19" i="14" s="1"/>
  <c r="Z17" i="14"/>
  <c r="AB17" i="14" s="1"/>
  <c r="AM17" i="14" s="1"/>
  <c r="AN17" i="14" s="1"/>
  <c r="AO17" i="14" s="1"/>
  <c r="Z16" i="14"/>
  <c r="AB16" i="14" s="1"/>
  <c r="AM16" i="14" s="1"/>
  <c r="AN16" i="14" s="1"/>
  <c r="AO16" i="14" s="1"/>
  <c r="AB30" i="14" l="1"/>
  <c r="AM30" i="14" s="1"/>
  <c r="AN30" i="14" s="1"/>
  <c r="AO30" i="14" s="1"/>
  <c r="AB27" i="14"/>
  <c r="AM27" i="14" s="1"/>
  <c r="AO2" i="14"/>
  <c r="AN7" i="14"/>
  <c r="AM33" i="14" l="1"/>
  <c r="AN27" i="14"/>
  <c r="AN33" i="14" s="1"/>
  <c r="AO7" i="14"/>
  <c r="AO27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Haghparast-Bidgoli, Hassan</author>
  </authors>
  <commentList>
    <comment ref="AM3" authorId="0" shapeId="0" xr:uid="{E3E8B500-AF5B-9E45-95D0-425B45B3EE36}">
      <text>
        <r>
          <rPr>
            <b/>
            <sz val="10"/>
            <color rgb="FF000000"/>
            <rFont val="Tahoma"/>
            <family val="2"/>
          </rPr>
          <t>Haghparast-Bidgoli, Hassan: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90% coverage are syphilis and unit cost of syphilis is 10% of the unit cost mentioned here.</t>
        </r>
      </text>
    </comment>
  </commentList>
</comments>
</file>

<file path=xl/sharedStrings.xml><?xml version="1.0" encoding="utf-8"?>
<sst xmlns="http://schemas.openxmlformats.org/spreadsheetml/2006/main" count="2565" uniqueCount="1155">
  <si>
    <t>Community</t>
  </si>
  <si>
    <t>First-level Hospital</t>
  </si>
  <si>
    <t>Drainage of superficial abscess</t>
  </si>
  <si>
    <t>Management of non-displaced fractures</t>
  </si>
  <si>
    <t>Resuscitation with basic life support measures</t>
  </si>
  <si>
    <t>Suturing laceration</t>
  </si>
  <si>
    <t>Drainage of dental abscess</t>
  </si>
  <si>
    <t>Treatment of caries</t>
  </si>
  <si>
    <t>Appendectomy</t>
  </si>
  <si>
    <t>Colostomy</t>
  </si>
  <si>
    <t>Irrigation and debridement of open fractures</t>
  </si>
  <si>
    <t>Resuscitation with advanced life support measures, including surgical airway</t>
  </si>
  <si>
    <t>Trauma laparotomy</t>
  </si>
  <si>
    <t>Trauma-related amputations</t>
  </si>
  <si>
    <t>Hysterectomy for uterine rupture or intractable postpartum hemorrhage</t>
  </si>
  <si>
    <t>Tubal ligation</t>
  </si>
  <si>
    <t>Vasectomy</t>
  </si>
  <si>
    <t>Repair of anorectal malformations and Hirschsprung's Disease</t>
  </si>
  <si>
    <t>Repair of club foot</t>
  </si>
  <si>
    <t>Cataract extraction and insertion of intraocular lens</t>
  </si>
  <si>
    <t>Management of complications following FGM</t>
  </si>
  <si>
    <t>Full supportive care for preterm newborns</t>
  </si>
  <si>
    <t>Detection and management of fetal growth restriction</t>
  </si>
  <si>
    <t>Induction of labor post-term</t>
  </si>
  <si>
    <t>Life skills training in schools to build social and emotional competencies</t>
  </si>
  <si>
    <t>Self-managed treatment of migraine</t>
  </si>
  <si>
    <t>Interventions to support caregivers of patients with dementia</t>
  </si>
  <si>
    <t xml:space="preserve">Tobacco cessation counseling, and use of nicotine replacement therapy in certain circumstances </t>
  </si>
  <si>
    <t>Retinopathy screening via telemedicine, followed by treatment using laser photocoagulation</t>
  </si>
  <si>
    <t>Referral and Specialty Hospital</t>
  </si>
  <si>
    <t>Malaria</t>
  </si>
  <si>
    <t>Health Center</t>
  </si>
  <si>
    <t>Population-based Health Interventions</t>
  </si>
  <si>
    <t>Opportunistic screening for cervical cancer using visual inspection or HPV DNA testing and treatment of precancerous lesions with cryotherapy</t>
  </si>
  <si>
    <t>Mass drug administration for lymphatic filariasis, onchocerciasis, schistosomiasis, soil-transmitted helminthiases and trachoma, and foodborne trematode infections</t>
  </si>
  <si>
    <t>Total Community Treatment for yaws</t>
  </si>
  <si>
    <t>Management of lymphedema</t>
  </si>
  <si>
    <t>Vision prescreening by teachers; vision tests and provision of ready-made glasses on-site by eye specialists</t>
  </si>
  <si>
    <t>Provision of condoms to key populations, including sex workers, men who have sex with men, people who inject drugs, transgender populations, and prisoners</t>
  </si>
  <si>
    <t>PMTCT of HIV (Option B+) and syphilis</t>
  </si>
  <si>
    <t>Mass social marketing of insecticide treated nets</t>
  </si>
  <si>
    <t>Management of refractory febrile illness including etiologic diagnosis at reference microbiological laboratory</t>
  </si>
  <si>
    <t>Routine contact tracing to identify individuals exposed to TB and link them to care</t>
  </si>
  <si>
    <t>WASH behavior change interventions, such as community-led total sanitation</t>
  </si>
  <si>
    <t>Health center pathology services</t>
  </si>
  <si>
    <t>First-level hospital pathology services</t>
  </si>
  <si>
    <t>Referral-level hospital pathology services</t>
  </si>
  <si>
    <t>Specialty pathology services</t>
  </si>
  <si>
    <t>Provision of condoms and hormonal contraceptives, including emergency contraceptives</t>
  </si>
  <si>
    <t>In countries where it is a public health concern, prevention of FGM (may be for daughters of women of reproductive age)</t>
  </si>
  <si>
    <t>Targeted screening for congenital hearing loss in high-risk children using otoacoustic emissions testing</t>
  </si>
  <si>
    <t>Calcium and vitamin D supplementation for primary prevention of osteoporosis in high-risk individuals</t>
  </si>
  <si>
    <t>Exercise programs for upper extremity injuries and disorders</t>
  </si>
  <si>
    <t>Calcium and vitamin D supplementation for secondary prevention of osteoporosis</t>
  </si>
  <si>
    <t>Combination therapy, including low-dose corticosteroids and generic disease-modifying antirheumatic drugs (including methotrexate), for individuals with moderate to severe rheumatoid arthritis</t>
  </si>
  <si>
    <t>Cardiac and pulmonary rehabilitation programs</t>
  </si>
  <si>
    <t>Training and retraining for disorders of speech, swallowing, communication, and cognition</t>
  </si>
  <si>
    <t xml:space="preserve">Early childhood development rehabilitation interventions, including motor, sensory, and language stimulation </t>
  </si>
  <si>
    <t>Review of prosthetics, orthotics, and splints, with referral to hospital if indicated</t>
  </si>
  <si>
    <t>Mobilization activities following acute injury or illness</t>
  </si>
  <si>
    <t>Evaluation and acute management of swallowing dysfunction</t>
  </si>
  <si>
    <t>Fabrication, fitting, and training in the use of prosthetics, orthotics, and splints</t>
  </si>
  <si>
    <t>Compression therapy for amputations, burns, and vascular or lymphatic disorders</t>
  </si>
  <si>
    <t xml:space="preserve">Assessment, provision and training in the use of assistive products, including assistive devices for hearing </t>
  </si>
  <si>
    <t>HIV education and counseling for pregnant women, sex workers, people who inject drugs, men who have sex with men, and transgender individuals, and PLHIV and their partners</t>
  </si>
  <si>
    <t>Treatment of acute pharyngitis in children to prevent rheumatic fever</t>
  </si>
  <si>
    <t>Mass media messages concerning healthy eating or physical activity</t>
  </si>
  <si>
    <t>Mass media messages concerning use of tobacco and alcohol</t>
  </si>
  <si>
    <t>Jaundice management with phototherapy</t>
  </si>
  <si>
    <t>Management of bowel obstruction</t>
  </si>
  <si>
    <t>Dental extraction</t>
  </si>
  <si>
    <t>Burr hole to relieve acute elevated intracranial pressure</t>
  </si>
  <si>
    <t>Tube thoracostomy</t>
  </si>
  <si>
    <t>Surgery for ectopic pregnancy</t>
  </si>
  <si>
    <t>Hernia repair including emergency surgery</t>
  </si>
  <si>
    <t>Removal of gallbladder including  emergency surgery</t>
  </si>
  <si>
    <t>Education campaigns for the prevention of gender-based violence</t>
  </si>
  <si>
    <t>Management of depression and anxiety disorders with psycological and generic antidepressant therapy</t>
  </si>
  <si>
    <t>Training, retraining, and exercise programs that address musculoskeletal injuries and disorders, including chronic low back and neck pain</t>
  </si>
  <si>
    <t>Provision of harm reduction services such as safe injection equipment and opioid substitution therapy to people who inject drugs</t>
  </si>
  <si>
    <t>Screening and brief intervention for alcohol use disorders</t>
  </si>
  <si>
    <t xml:space="preserve">Sustained vector management for Chagas disease, visceral leishmaniasis, dengue, and other nationally important causes of nonmalarial fever </t>
  </si>
  <si>
    <t>Alcohol use disorders</t>
  </si>
  <si>
    <t>Bipolar disorder</t>
  </si>
  <si>
    <t>Cardiovascular diseases</t>
  </si>
  <si>
    <t>Diabetes mellitus</t>
  </si>
  <si>
    <t>Epilepsy</t>
  </si>
  <si>
    <t>Hemolytic disease and other neonatal jaundice</t>
  </si>
  <si>
    <t>HIV/AIDS</t>
  </si>
  <si>
    <t>Lymphatic filariasis</t>
  </si>
  <si>
    <t>Maternal abortion, miscarriage, and ectopic pregnancy</t>
  </si>
  <si>
    <t>Musculoskeletal disorders</t>
  </si>
  <si>
    <t>Neonatal sepsis and other neonatal infections</t>
  </si>
  <si>
    <t>Nutritional deficiencies</t>
  </si>
  <si>
    <t>Other neonatal disorders</t>
  </si>
  <si>
    <t>Schizophrenia</t>
  </si>
  <si>
    <t>Tetanus</t>
  </si>
  <si>
    <t>For PLHIV and children under five who are close contacts or household members of individuals with active TB, perform symptom screening and chest radiograph; if there is no active TB, provide isoniazid preventive therapy according to current WHO guidelines</t>
  </si>
  <si>
    <t>Diagnosis of TB, including assessment of rifampicin resistance using rapid molecular diagnostics (UltraXpert), and initiation of first-line treatment per current WHO guidelines for drug-susceptible TB; referral for confirmation, further assessment of drug resistance, and treatment of drug-resistant TB</t>
  </si>
  <si>
    <t xml:space="preserve">Secondary prophylaxis with penicillin for rheumatic fever or established rheumatic heart disease </t>
  </si>
  <si>
    <t>Medical management of acute heart failure</t>
  </si>
  <si>
    <t>Management of acute exacerbations of asthma and COPD using systemic steroids, inhaled beta-agonists, and, if indicated, oral antibiotics and oxygen therapy</t>
  </si>
  <si>
    <t>Use of percutaneous coronary intervention for acute myocardial infarction where resources permit</t>
  </si>
  <si>
    <t>Management of acute ventilatory failure due to acute exacerbations of asthma and COPD; in COPD use of bilevel positive airway pressure preferred</t>
  </si>
  <si>
    <t>Exercise-based pulmonary rehabilitation for patients with obstructive lung disease</t>
  </si>
  <si>
    <t>Conduct a comprehensive assessment of International Health Regulations (IHR) competencies using the Joint External Evaluation tool and develop, cost, finance and implement an action plan to address gaps in preparedness and response</t>
  </si>
  <si>
    <t>Conduct simulation exercises and health worker training for outbreak events including outbreak investigation, contact tracing and emergency response</t>
  </si>
  <si>
    <t>Ensure influenza vaccine security at national and subnational level</t>
  </si>
  <si>
    <t>Relief of urinary obstruction by catheterization or suprapubic cystostomy</t>
  </si>
  <si>
    <t>Management of septic arthritis</t>
  </si>
  <si>
    <t>Assisted vaginal delivery using vacuum extraction or forceps</t>
  </si>
  <si>
    <t>Repair of cleft lip and cleft palate</t>
  </si>
  <si>
    <t>Repair of obstetric fistula</t>
  </si>
  <si>
    <t>Early detection and treatment of early-stage cervical cancer</t>
  </si>
  <si>
    <t>Antenatal and postpartum education on family planning</t>
  </si>
  <si>
    <t>Management of preterm premature rupture of membranes, including administration of antibotics</t>
  </si>
  <si>
    <t>Health Center*</t>
  </si>
  <si>
    <t>Early detection and treatment of neonatal pneumonia with oral antibiotics</t>
  </si>
  <si>
    <t>Counseling of mothers on providing kangaroo care for newborns</t>
  </si>
  <si>
    <t>Counseling of mothers on providing thermal care for preterm newborns (delayed bath and skin-to-skin contact)</t>
  </si>
  <si>
    <t>Management of maternal sepsis, including early detection at health centers</t>
  </si>
  <si>
    <t>Tetanus toxoid immunization among schoolchildren and among women attending antenatal care</t>
  </si>
  <si>
    <t>Management of newborn complications, neonatal meningitis, and other very serious infections requiring continuous supportive care (IV fluids, oxygen, etc.)</t>
  </si>
  <si>
    <t>Detection and treatment of childhood infections (iCCM), including referral if danger signs</t>
  </si>
  <si>
    <t>Provision of cotrimoxazole to children born to HIV-positive mothers</t>
  </si>
  <si>
    <t>Detection and treatment of childhood infections with danger signs (IMCI)</t>
  </si>
  <si>
    <t>Full supportive care for severe childhood infections with danger signs</t>
  </si>
  <si>
    <t>Management of severe acute malnutrition associated with serious infection</t>
  </si>
  <si>
    <t>Essential palliative care and pain control measures, including oral immediate release morphine and medicines for associated symptoms</t>
  </si>
  <si>
    <t>Opportunistic screening for hypertension for all adults and initiation of treatment among individuals with severe hypertension and/or multiple risk factors</t>
  </si>
  <si>
    <t>Long-term combination therapy for persons with multiple CVD risk factors, including screening for CVD in community settings using non-lab-based tools to assess overall CVD risk</t>
  </si>
  <si>
    <t>Long term management of ischemic heart disease, stroke, and peripheral vascular disease with aspirin, beta blockers, ACEi, and statins (as indicated) to reduce risk of further events</t>
  </si>
  <si>
    <t>Provision of aspirin for all cases of suspected acute myocardial infarction</t>
  </si>
  <si>
    <t xml:space="preserve">Medical management of heart failure with diuretics, beta-blockers, ACEi, and mineralocorticoid antagonists </t>
  </si>
  <si>
    <t>Screening and management of albuminuric kidney disease with ACEi or ARBs, including targeted screening among people with diabetes</t>
  </si>
  <si>
    <t>Screening and management of diabetes among at-risk adults, including glycemic control, management of blood pressure and lipids, and consistent foot care</t>
  </si>
  <si>
    <t xml:space="preserve">Annual flu vaccination and pneumococcal vaccine every five years for individuals with underlying lung disease </t>
  </si>
  <si>
    <t>Management of acute coronary syndromes with aspirin, unfractionated heparin, and generic thrombolytics (when indicated)</t>
  </si>
  <si>
    <t>Management of acute critical limb ischemia with unfractionated heparin and revascularization where available, with amputation as a last resort</t>
  </si>
  <si>
    <t>Low-dose inhaled corticosteroids and bronchodilators for asthma and for selected patients with COPD</t>
  </si>
  <si>
    <t>Partner notification and expedited treatment for common STIs, including HIV</t>
  </si>
  <si>
    <t>Adolescent-friendly health services including: provision of condoms to prevent STIs; provision of reversible contraception; treatment of injury in general and abuse in particular; and screening and treatment for STIs</t>
  </si>
  <si>
    <t>Among all individuals who are known to be HIV positive, immediate ART initiation with regular monitoring of viral load for adherence and development of resistance</t>
  </si>
  <si>
    <t>PrEP for discordant couples and others at high risk of infection such as commercial sex workers (in high prevalence settings)</t>
  </si>
  <si>
    <t>For individuals testing positive for hepatitis B and C, assessment of treatment eligibility by trained providers followed by initiation and monitoring of antiviral treatment when indicated</t>
  </si>
  <si>
    <t>Childhood vaccination series (diptheria, pertussis, tetanus, polio, BCG, measles, hepatitis B, Hib, rubella)</t>
  </si>
  <si>
    <t>Screening for latent TB infection following a new diagnosis of HIV, followed by yearly screening among PLHIV at high risk of TB exposure; initiation of isoniazid preventive therapy among all individuals who screen positive but do not have evidence of active TB</t>
  </si>
  <si>
    <t>Specialized TB services, including management of MDR- and XDR-TB treatment failure and surgery for TB</t>
  </si>
  <si>
    <t>In all malaria-endemic countries, diagnosis with rapid test or microscopy (including speciation) followed by treatment with ACTs (or current first-line combination)</t>
  </si>
  <si>
    <t>For malaria due to P. vivax, test for G6PD deficiency; if normal, add chloroquine or chloroquine plus 14-day course of primaquine</t>
  </si>
  <si>
    <t>Provision of insecticide-treated nets to children and pregnant women attending health centers</t>
  </si>
  <si>
    <t>In low malaria transmission settings, case investigation, reactive case detection, proactive case detection (including mass screening and treatment)</t>
  </si>
  <si>
    <t>Mass drug administration in low malaria transmission settings (including high-risk groups in geographic or demographic clusters)</t>
  </si>
  <si>
    <t>In low malaria transmision settings, addition of single low-dose primaquine to first-line treatment</t>
  </si>
  <si>
    <t>In high malaria transmission settings where rapid tests and microscopy are unavailable, presumptive treatment of febrile illness with ACTs (non-severe cases) or ACTs plus antibiotics (severe cases)</t>
  </si>
  <si>
    <t>In high malaria transmission settings, indoor residual spraying (IRS) in selected areas with high transmission and entomologic data on IRS suspectibility</t>
  </si>
  <si>
    <t>In high malaria transmission settings, intermittent preventive treatment in pregnancy</t>
  </si>
  <si>
    <t>In the Sahel region, seasonal malaria chemoprophylaxis</t>
  </si>
  <si>
    <t>In high malaria transmission settings, intermittent preventive treatment in infancy (except where seasonal malaria chemoprophylaxis is being provided)</t>
  </si>
  <si>
    <t>Surgery for trachomatous trichiasis</t>
  </si>
  <si>
    <t>Surgery for filarial hydrocele</t>
  </si>
  <si>
    <t>Early identification of lead poisoning and counseling of families in remediation strategies for sources of environmental exposure</t>
  </si>
  <si>
    <t>Education of schoolchildren on oral health</t>
  </si>
  <si>
    <t>Psychosocial support and counseling services for individuals with serious, complex, or life-limiting health problems and their caregivers</t>
  </si>
  <si>
    <t>Expanded palliative care and pain control measures, including prevention and relief of all physical and psychological symptoms of suffering</t>
  </si>
  <si>
    <t>Prevention and relief of refractory suffering and of acute pain related to surgery, serious injury, or other serious, complex or life-limiting health problems</t>
  </si>
  <si>
    <t>Management of osteomyelitis, including surgical debridement for refractory cases</t>
  </si>
  <si>
    <t>Provision of vitamin A and zinc supplementation to children according to WHO guidelines, and provision of food supplementation to women and children in food insecure households</t>
  </si>
  <si>
    <t>Detection and management of acute severe malnutrition and referral in the presence of complications</t>
  </si>
  <si>
    <t>Rotavirus vaccination</t>
  </si>
  <si>
    <t>Pneumococcus vaccination</t>
  </si>
  <si>
    <t>Management of schizophrenia using generic anti-psychotic medications and psychosocial treatment</t>
  </si>
  <si>
    <t>Screening and management of hypertensive disorders in pregnancy</t>
  </si>
  <si>
    <t>School based HPV vaccination for girls</t>
  </si>
  <si>
    <t>Insertion and removal of long-lasting contraceptives</t>
  </si>
  <si>
    <t>Pharmacological termination of pregnancy</t>
  </si>
  <si>
    <t xml:space="preserve">Surgical termination of pregnancy by manual vacuum aspiration and dilation and curettage </t>
  </si>
  <si>
    <t>Management of bipolar disorder using generic mood-stabilizing medications and psychosocial treatment</t>
  </si>
  <si>
    <t>In settings where sickle cell disease is a public health concern, universal newborn screening followed by standard prophylaxis against bacterial infections and malaria</t>
  </si>
  <si>
    <t>Functional interventions for self-care for individuals with disabilities</t>
  </si>
  <si>
    <t>In the context of an emerging infectious outbreak, provide advice and guidance on how to recognize early symptoms and signs and when to seek medical attention</t>
  </si>
  <si>
    <t>Management of labor and delivery in low risk women by skilled attendants, including basic neonatal resuscitation following delivery</t>
  </si>
  <si>
    <t>Basic skin grafting</t>
  </si>
  <si>
    <t>Conduct larviciding and water-management programs in high malaria transmission areas where mosquito breeding sites can be identified and regularly targeted</t>
  </si>
  <si>
    <t>Education on handwashing and safe disposal of children's stools</t>
  </si>
  <si>
    <t>Parent training for high-risk families, including nurse home visitation for child maltreatment</t>
  </si>
  <si>
    <t>Systematic identification of individuals with TB symptoms among high-risk groups and linkage to care (“active case finding”)</t>
  </si>
  <si>
    <t>Decentralize stocks of anti viral medications in order to reach at-risk groups and disadvantaged populations</t>
  </si>
  <si>
    <t xml:space="preserve">Develop and implement a plan to ensure surge capacity in hospital beds, stockpiles of disinfectants, equipment for supportive care, and personal protective equipment </t>
  </si>
  <si>
    <t>Develop plans and legal standards for curtailing interactions between infected persons and uninfected population and implement and evaluate infection control measures in health facilities</t>
  </si>
  <si>
    <t>Mass media messages concerning awareness on handwashing and health effects of household air pollution</t>
  </si>
  <si>
    <t>Mass media messages concerning sexual and reproductive health and mental health for adolescents</t>
  </si>
  <si>
    <t xml:space="preserve">Mass media encouraging use of condoms, voluntary medical male circumcision, and STI testing </t>
  </si>
  <si>
    <t xml:space="preserve">Identify and refer patients with high risk including pregnant women, young children, and those with underlying medical conditions </t>
  </si>
  <si>
    <t>Community-based HIV testing and counseling (for example, mobile units and venue-based testing), with appropriate referral or linkage to care and immediate initiation of lifelong ART</t>
  </si>
  <si>
    <t>Early detection and treatment of Chagas disease, human African trypanosomiasis, leprosy, and leishmaniases</t>
  </si>
  <si>
    <t>Household HIV testing and counseling in high-prevalence settings, with appropriate referral or linkage to care and immediate initiation of lifelong ART</t>
  </si>
  <si>
    <t>Promotion of breastfeeding or complementary feeding by lay health workers</t>
  </si>
  <si>
    <t>Provision of iron and folic acid supplementation to pregnant women, and provision of food or caloric supplementation to pregnant women in food insecure households</t>
  </si>
  <si>
    <t xml:space="preserve">Individualized environmental modifications (for example, adaptations to a house) </t>
  </si>
  <si>
    <t>Pressure area prevention and supportive seating interventions for wheelchair users</t>
  </si>
  <si>
    <t>Provision and training in the use of basic assistive products (such as canes, braille displays, and other aides) and compensatory strategies needed to communicate and perform activities of daily living</t>
  </si>
  <si>
    <t>Identify and refer to higher levels of health care patients with signs of progressive illness</t>
  </si>
  <si>
    <t xml:space="preserve">Evaluation and management of fever in clinically stable individuals using WHO IMAI guidelines, with referral of unstable individuals to first-level hospital care  </t>
  </si>
  <si>
    <t>Focused use of vaccines for endemic infections, such as dengue, JEV, typhoid, meningococcus, and others</t>
  </si>
  <si>
    <t>Hepatitis B and C testing of individuals identified in the national testing policy (based on endemicity and risk level), with appropriate referral of positive individuals to trained providers</t>
  </si>
  <si>
    <t>Management of labor and delivery in low risk women (BEmNOC), including initial treatment of obstetric or delivery complications prior to transfer</t>
  </si>
  <si>
    <t>Management of miscarriage or incomplete abortion and post abortion care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</si>
  <si>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</si>
  <si>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</si>
  <si>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Provision of voluntary medical male circumcision service in settings with high prevalence of HIV</t>
  </si>
  <si>
    <t>As resources permit, hepatitis B vaccination of high-risk populations, including healthcare workers, PWID, MSM, household contacts, and persons with multiple sex partners</t>
  </si>
  <si>
    <t>Basic management of musculoskeletal and neurological injuries and disorders, such as prescription of simple exercises and sling or cast provision</t>
  </si>
  <si>
    <t>Management of epilepsy, including acute stabilization and long-term management with generic anti-epileptics</t>
  </si>
  <si>
    <t>Psychological treatment for mood, anxiety, ADHD, and disruptive behavior disorders</t>
  </si>
  <si>
    <t>Post gender-based violence care, including counseling, provision of emergency contraception, and rape-response referral (medical and judicial)</t>
  </si>
  <si>
    <t>Management of eclampsia with magnesium sulfate, including initial stabilization at health centers</t>
  </si>
  <si>
    <t>Management of neonatal sepsis, pneumonia, and meningitis using injectable and oral antibiotics</t>
  </si>
  <si>
    <t>Screening for HIV in all individuals with a diagnosis of active TB; if HIV infection is present, start (or refer for) ARV treatment and HIV care</t>
  </si>
  <si>
    <t>Evaluation and management of fever in clinically unstable individuals using WHO IMAI guidelines, including empiric parenteral antimicrobials and antimalarials and resuscitative measures for septic shock</t>
  </si>
  <si>
    <t>Management of labor and delivery in high risk women, including operative delivery (CEmNOC)</t>
  </si>
  <si>
    <t>Management of severe malaria, including early detection and provision of rectal artesunate in community settings followed by parenteral artesunate and full-course of ACT</t>
  </si>
  <si>
    <t>Management of preterm labor with corticosteroids, including early detection at health centers</t>
  </si>
  <si>
    <t>Referral of cases of treatment failure for drug susceptibility testing; enrollment of those with MDR-TB for treatment per WHO guidelines (either short or long regimen)</t>
  </si>
  <si>
    <t>In settings where specific single-gene disorders are a public health concern (for example, thalassemias), retrospective identification of carriers plus prospective (premarital) screening and counseling to reduce rates of conception</t>
  </si>
  <si>
    <t>Repair of perforations (for example, perforated peptic ulcer, typhoid ileal perforation)</t>
  </si>
  <si>
    <t>Universal newborn screening for congenital endocrine or metabolic disorders (for example, congenital hypothyroidism, phenylketonuria) that have high incidence rates and for which long-term treatment is feasible in limited resource settings</t>
  </si>
  <si>
    <t>Escharotomy or fasciotomy</t>
  </si>
  <si>
    <t>Fracture reduction and placement of external fixator and use of traction for fractures</t>
  </si>
  <si>
    <t>Elective surgical repair of common orthopedic injuries (for example, meniscal and ligamentous tears) in individuals with severe functional limitation</t>
  </si>
  <si>
    <t>Insertion of shunt for hydrocephalus</t>
  </si>
  <si>
    <t>Treatment of early stage breast cancer with appropriate multimodal approaches (including generic chemotherapy), with curative intent, for cases that are detected by clinical examination at health centers and first-level hospitals</t>
  </si>
  <si>
    <t>Treatment of early stage colorectal cancer with appropriate multimodal approaches (including generic chemotherapy), with curative intent, for cases that are detected by clinical examination at health centers and first-level hospitals</t>
  </si>
  <si>
    <t xml:space="preserve">Treatment of early-stage childhood cancers (such as Burkitt and Hodgkin lymphoma, acute lymphoblastic leukemia, retinoblastoma, and Wilms tumor) with curative intent in pediatric cancer units or hospitals </t>
  </si>
  <si>
    <t>Urgent, definitive surgical management of orthopedic injuries (for example, by open reduction and internal fixation)</t>
  </si>
  <si>
    <t>School-based education on sexual health, nutrition, and healthy lifestyle</t>
  </si>
  <si>
    <t xml:space="preserve">Management of intoxication/poisoning syndromes using widely available agents; e.g., activated charcoal, naloxone, bicarbonate, antivenin </t>
  </si>
  <si>
    <t>Screening and management of diabetes in pregnancy (gestational diabetes or preexisting type II diabetes)</t>
  </si>
  <si>
    <t>platform</t>
  </si>
  <si>
    <t>icer</t>
  </si>
  <si>
    <t>unitcost</t>
  </si>
  <si>
    <t>frp</t>
  </si>
  <si>
    <t>equity</t>
  </si>
  <si>
    <t>shortname</t>
  </si>
  <si>
    <t>fullname</t>
  </si>
  <si>
    <t>IHR assessment</t>
  </si>
  <si>
    <t>Simulation exercises</t>
  </si>
  <si>
    <t>Decentralize antivirals</t>
  </si>
  <si>
    <t>Surge capacity plan</t>
  </si>
  <si>
    <t>Infection control planning</t>
  </si>
  <si>
    <t>Influenza vaccine security</t>
  </si>
  <si>
    <t>Mass media for sexual health</t>
  </si>
  <si>
    <t>Mass media for hand washing</t>
  </si>
  <si>
    <t>Mass media for diet/exercise</t>
  </si>
  <si>
    <t>Mass media for adolescents</t>
  </si>
  <si>
    <t>Mass media for alcohol/tobacco</t>
  </si>
  <si>
    <t>Non-malaria vector management</t>
  </si>
  <si>
    <t>Cardiac and pulmonary rehabilitation</t>
  </si>
  <si>
    <t>Childhood vaccination series</t>
  </si>
  <si>
    <t>HIV education and counseling</t>
  </si>
  <si>
    <t>Identify and refer patients with high risk</t>
  </si>
  <si>
    <t xml:space="preserve">Prevention of FGM </t>
  </si>
  <si>
    <t>Indoor residual spraying</t>
  </si>
  <si>
    <t>Case detection strategies for malaria</t>
  </si>
  <si>
    <t>Seasonal malaria chemoprophylaxis</t>
  </si>
  <si>
    <t xml:space="preserve">Individualized environmental modifications </t>
  </si>
  <si>
    <t xml:space="preserve">Life skills training in schools </t>
  </si>
  <si>
    <t>Parent training for high-risk families</t>
  </si>
  <si>
    <t>Interventions for wheelchair users</t>
  </si>
  <si>
    <t>WASH behavior change interventions</t>
  </si>
  <si>
    <t>Flu and pneumococcal vaccinations</t>
  </si>
  <si>
    <t>Integrated management of childhood illness</t>
  </si>
  <si>
    <t>Treatment of neonatal pneumonia</t>
  </si>
  <si>
    <t>Isoniazid Preventative Therapy for TB</t>
  </si>
  <si>
    <t>Hepatitis B and C testing and referral</t>
  </si>
  <si>
    <t>Opportunistic screening for hypertension</t>
  </si>
  <si>
    <t>Post gender-based violence care</t>
  </si>
  <si>
    <t>PrEP for individuals at high risk of infection</t>
  </si>
  <si>
    <t>Review of prosthetics, orthotics, and splints</t>
  </si>
  <si>
    <t>Tobacco cessation counseling</t>
  </si>
  <si>
    <t>Counseling on kangaroo care for newborns</t>
  </si>
  <si>
    <t xml:space="preserve">Diagnosis of TB and first-line treatment </t>
  </si>
  <si>
    <t>Medical management of heart failure</t>
  </si>
  <si>
    <t>Assisted vaginal delivery</t>
  </si>
  <si>
    <t>Burr hole</t>
  </si>
  <si>
    <t>Hysterectomy</t>
  </si>
  <si>
    <t xml:space="preserve">Initial assessment, and prescription, and provision of individualized interventions for musculoskeletal, cardiopulmonary,  neurological, speech and communication, and cognitive deficits, including training in preparation for discharge </t>
  </si>
  <si>
    <t>Management of acute coronary syndromes</t>
  </si>
  <si>
    <t>Referral for DST and MDR-TB treatment</t>
  </si>
  <si>
    <t>Relief of urinary obstruction</t>
  </si>
  <si>
    <t>Removal of gallbladder</t>
  </si>
  <si>
    <t>Repair of perforations</t>
  </si>
  <si>
    <t xml:space="preserve">Surgical termination of pregnancy </t>
  </si>
  <si>
    <t>Specialized TB services</t>
  </si>
  <si>
    <t>Treatment of early stage breast cancer</t>
  </si>
  <si>
    <t>Treatment of early stage colorectal cancer</t>
  </si>
  <si>
    <t>Treatment of early-stage childhood cancers</t>
  </si>
  <si>
    <t>Antenatal and postpartum education</t>
  </si>
  <si>
    <t>Community-based HIV services</t>
  </si>
  <si>
    <t>ECD rehabilitation interventions</t>
  </si>
  <si>
    <t>Identification of lead poisoning</t>
  </si>
  <si>
    <t>Education campaigns on GBV</t>
  </si>
  <si>
    <t>Education on hygiene</t>
  </si>
  <si>
    <t>Exercise-based pulmonary rehabilitation</t>
  </si>
  <si>
    <t>Test for G6PD deficiency</t>
  </si>
  <si>
    <t>Self-care interventions for disabilities</t>
  </si>
  <si>
    <t>Household HIV testing and counseling</t>
  </si>
  <si>
    <t>Diagnosis of and treatment of malaria</t>
  </si>
  <si>
    <t>Presumptive treatment of febrile illness</t>
  </si>
  <si>
    <t>IPT for malaria in pregnancy</t>
  </si>
  <si>
    <t>IPT for malaria in infancy</t>
  </si>
  <si>
    <t>Primaquine first-line malaria treatment</t>
  </si>
  <si>
    <t>Low-risk labor and delivery</t>
  </si>
  <si>
    <t>Mass drug administration (malaria)</t>
  </si>
  <si>
    <t>Promotion of breastfeeding</t>
  </si>
  <si>
    <t>Basic assistive products</t>
  </si>
  <si>
    <t>Cotrimoxazole for children</t>
  </si>
  <si>
    <t>Harm reduction services for PWID</t>
  </si>
  <si>
    <t>Iron and folic acid for pregnant women</t>
  </si>
  <si>
    <t>Vitamin A and zinc for children</t>
  </si>
  <si>
    <t>TB contact tracing</t>
  </si>
  <si>
    <t>School-based education on health</t>
  </si>
  <si>
    <t>Tetanus toxoid immunization</t>
  </si>
  <si>
    <t>Treatment for yaws</t>
  </si>
  <si>
    <t>Training, retraining, and exercise programs</t>
  </si>
  <si>
    <t>Vision prescreening, tests and glasses</t>
  </si>
  <si>
    <t>ART care for PLHIV</t>
  </si>
  <si>
    <t>Hepatitis B vaccination</t>
  </si>
  <si>
    <t>Early detection and treatment of NTDs</t>
  </si>
  <si>
    <t>Guidance during infectious outbreak</t>
  </si>
  <si>
    <t>Training and retraining for speech</t>
  </si>
  <si>
    <t>Essential palliative care</t>
  </si>
  <si>
    <t>Exercise programs</t>
  </si>
  <si>
    <t>Expanded palliative care</t>
  </si>
  <si>
    <t>Treatment eligibility for hepatitis B and C</t>
  </si>
  <si>
    <t>Retinopathy screening and treatment</t>
  </si>
  <si>
    <t>Percutaneous coronary intervention</t>
  </si>
  <si>
    <t>Repair of anorectal malformations</t>
  </si>
  <si>
    <t>Resuscitation with advanced measures</t>
  </si>
  <si>
    <t>Resuscitation with basic measures</t>
  </si>
  <si>
    <t>Psychological treatment</t>
  </si>
  <si>
    <t>Expedited treatment for common STIs</t>
  </si>
  <si>
    <t>Aspirin for acute myocardial infarction</t>
  </si>
  <si>
    <t>Condoms and hormonal contraceptives</t>
  </si>
  <si>
    <t>Provision of insecticide nets</t>
  </si>
  <si>
    <t xml:space="preserve">Inhaled corticosteroids and bronchodilators </t>
  </si>
  <si>
    <t>Screening for endocrine or metabolic disorders</t>
  </si>
  <si>
    <t>Cataract extraction</t>
  </si>
  <si>
    <t>Urgent surgery for orthopedic injuries</t>
  </si>
  <si>
    <t>Elective surgery for orthopedic injuries</t>
  </si>
  <si>
    <t>Prevention and relief of refractory suffering</t>
  </si>
  <si>
    <t xml:space="preserve">Mobilization activities </t>
  </si>
  <si>
    <t>Management of newborn complications</t>
  </si>
  <si>
    <t>Labor and delivery in high risk women</t>
  </si>
  <si>
    <t>Insertion and removal of contraceptives</t>
  </si>
  <si>
    <t>Individualized interventions</t>
  </si>
  <si>
    <t xml:space="preserve">Environmental management for malaria </t>
  </si>
  <si>
    <t>Counseling on providing thermal care</t>
  </si>
  <si>
    <t>Mass drug administration (NTDs)</t>
  </si>
  <si>
    <t>Mass marketing of insecticide nets</t>
  </si>
  <si>
    <t>Provision of condoms</t>
  </si>
  <si>
    <t>Primary prevention of osteoporosis</t>
  </si>
  <si>
    <t>Secondary prevention of osteoporosis</t>
  </si>
  <si>
    <t>Identify and refer for progressive illness</t>
  </si>
  <si>
    <t>Support for caregivers of dementia patients</t>
  </si>
  <si>
    <t>Therapy for CVD risk factors</t>
  </si>
  <si>
    <t>Psycological and antidepressant therapy</t>
  </si>
  <si>
    <t>BEmNOC</t>
  </si>
  <si>
    <t>Medical male circumcision</t>
  </si>
  <si>
    <t>Psychosocial support and counseling</t>
  </si>
  <si>
    <t>Screening and brief alcohol intervention</t>
  </si>
  <si>
    <t>Screening and ACEi or ARBs for kidney disease</t>
  </si>
  <si>
    <t>Diabetes screening and care for at-risk adults</t>
  </si>
  <si>
    <t>Diabetes screening and care in pregnancy</t>
  </si>
  <si>
    <t>Secondary prophylaxis for rheumatic fever</t>
  </si>
  <si>
    <t>Latent-TB screening and IPT for PLHIV</t>
  </si>
  <si>
    <t>Stockpile and AV treatment strategies</t>
  </si>
  <si>
    <t>Screening for congenital hearing loss</t>
  </si>
  <si>
    <t>Treatment of acute pharyngitis</t>
  </si>
  <si>
    <t>Opportunistic screening for cervical cancer</t>
  </si>
  <si>
    <t>Care for hypertensive disorders in pregnancy</t>
  </si>
  <si>
    <t>HIV screening and care for active TB patients</t>
  </si>
  <si>
    <t>Support in the use of assistive products</t>
  </si>
  <si>
    <t>Therapy for moderate to severe arthritis</t>
  </si>
  <si>
    <t>Compression therapy</t>
  </si>
  <si>
    <t>Care for fetal growth restriction</t>
  </si>
  <si>
    <t>Care for early-stage cervical cancer</t>
  </si>
  <si>
    <t>Fabrication of prosthetics, orthotics, and splints</t>
  </si>
  <si>
    <t>Acute management of swallowing dysfunction</t>
  </si>
  <si>
    <t>Care for fractures</t>
  </si>
  <si>
    <t>Care for severe childhood infections</t>
  </si>
  <si>
    <t>Hernia repair</t>
  </si>
  <si>
    <t>Universal newborn screening for sickle cell</t>
  </si>
  <si>
    <t>Identification of genetic disorders</t>
  </si>
  <si>
    <t>Testing and counseling for HIV, STIs, hepatitis</t>
  </si>
  <si>
    <t>Management of sexual and tract infections</t>
  </si>
  <si>
    <t>Care for neonatal sepsis, pneumonia, meningitis</t>
  </si>
  <si>
    <t>Basic management of MNIs and disorders</t>
  </si>
  <si>
    <t>TB ACF and linkage to care</t>
  </si>
  <si>
    <t>Adolescent-friendly services for STIs</t>
  </si>
  <si>
    <t>Integrated community case management</t>
  </si>
  <si>
    <t>Use of vaccines for endemic infections</t>
  </si>
  <si>
    <t>Bipolar disorder management</t>
  </si>
  <si>
    <t>Fever management for clinically stable</t>
  </si>
  <si>
    <t>Miscarriage and abortions management</t>
  </si>
  <si>
    <t>Non-displaced fractures management</t>
  </si>
  <si>
    <t>Schizophrenia management</t>
  </si>
  <si>
    <t>Preterm premature rupture management</t>
  </si>
  <si>
    <t>Epilepsy management</t>
  </si>
  <si>
    <t>Fever management for clinically unstable</t>
  </si>
  <si>
    <t>Acute asthma and COPD management</t>
  </si>
  <si>
    <t>Bowel obstruction management</t>
  </si>
  <si>
    <t>Eclampsia management</t>
  </si>
  <si>
    <t>Intoxication/poisoning management</t>
  </si>
  <si>
    <t>Maternal sepsis management</t>
  </si>
  <si>
    <t>Osteomyelitis management</t>
  </si>
  <si>
    <t>Preterm labor management</t>
  </si>
  <si>
    <t>Septic arthritis management</t>
  </si>
  <si>
    <t>Severe malaria management</t>
  </si>
  <si>
    <t>Acute ventilatory failure management</t>
  </si>
  <si>
    <t>Refractory febrile illness management</t>
  </si>
  <si>
    <t>Acute severe malnutrition management</t>
  </si>
  <si>
    <t>Lymphedema management</t>
  </si>
  <si>
    <t>IHD, stroke and PVD management</t>
  </si>
  <si>
    <t>Acute critical limb ischemia management</t>
  </si>
  <si>
    <t>Severe acute malnutrition management</t>
  </si>
  <si>
    <t>HPP</t>
  </si>
  <si>
    <t>DCP3 Packages</t>
  </si>
  <si>
    <t>Intervention Number</t>
  </si>
  <si>
    <t>Urgency</t>
  </si>
  <si>
    <t>FLH22</t>
  </si>
  <si>
    <t>CVD</t>
  </si>
  <si>
    <t>Package Number</t>
  </si>
  <si>
    <t>Urgent</t>
  </si>
  <si>
    <t>FLH21</t>
  </si>
  <si>
    <t>FLH53</t>
  </si>
  <si>
    <t>Rehabilitation</t>
  </si>
  <si>
    <t>C8</t>
  </si>
  <si>
    <t>Child Health</t>
  </si>
  <si>
    <t>RH4</t>
  </si>
  <si>
    <t>C23</t>
  </si>
  <si>
    <t>Adolescent Health; HIV</t>
  </si>
  <si>
    <t>4; 6</t>
  </si>
  <si>
    <t>Non-urgent</t>
  </si>
  <si>
    <t>C1</t>
  </si>
  <si>
    <t>FLH30</t>
  </si>
  <si>
    <t>FLH31</t>
  </si>
  <si>
    <t>Surgery</t>
  </si>
  <si>
    <t>HC13</t>
  </si>
  <si>
    <t>Child Health; HIV</t>
  </si>
  <si>
    <t>2; 6</t>
  </si>
  <si>
    <t>Continuing</t>
  </si>
  <si>
    <t>HC38</t>
  </si>
  <si>
    <t>FLH32</t>
  </si>
  <si>
    <t>C57</t>
  </si>
  <si>
    <t>HC64</t>
  </si>
  <si>
    <t>FLH46</t>
  </si>
  <si>
    <t>HC11</t>
  </si>
  <si>
    <t>1; 18</t>
  </si>
  <si>
    <t>HC49</t>
  </si>
  <si>
    <t>Mental Health</t>
  </si>
  <si>
    <t>Maternal and Newborn Health</t>
  </si>
  <si>
    <t>Maternal and Newborn Health; Surgery</t>
  </si>
  <si>
    <t>FLH24</t>
  </si>
  <si>
    <t>Cancer; Surgery</t>
  </si>
  <si>
    <t>12; 18</t>
  </si>
  <si>
    <t>FLH33</t>
  </si>
  <si>
    <t>C52</t>
  </si>
  <si>
    <t>FLH13</t>
  </si>
  <si>
    <t>Reproductive Health; HIV</t>
  </si>
  <si>
    <t>5; 6</t>
  </si>
  <si>
    <t>FLH1</t>
  </si>
  <si>
    <t>FLH36</t>
  </si>
  <si>
    <t>HC9</t>
  </si>
  <si>
    <t>HC6</t>
  </si>
  <si>
    <t>FLH11</t>
  </si>
  <si>
    <t>C39</t>
  </si>
  <si>
    <t>Adult Febrile Illness</t>
  </si>
  <si>
    <t>RH14</t>
  </si>
  <si>
    <t>C16</t>
  </si>
  <si>
    <t>Child Health; HIV; TB; Cancer; Congenital Disorders</t>
  </si>
  <si>
    <t>2; 6; 7; 12; 15</t>
  </si>
  <si>
    <t>FLH34</t>
  </si>
  <si>
    <t>C28</t>
  </si>
  <si>
    <t>HIV</t>
  </si>
  <si>
    <t>FLH52</t>
  </si>
  <si>
    <t>HC34</t>
  </si>
  <si>
    <t>HC4</t>
  </si>
  <si>
    <t>C13</t>
  </si>
  <si>
    <t>HC5</t>
  </si>
  <si>
    <t>C2</t>
  </si>
  <si>
    <t>P9</t>
  </si>
  <si>
    <t>Pandemics</t>
  </si>
  <si>
    <t>HC57</t>
  </si>
  <si>
    <t>HC40</t>
  </si>
  <si>
    <t>HC10</t>
  </si>
  <si>
    <t>Maternal and Newborn Health; CVD; Congenital Disorders</t>
  </si>
  <si>
    <t>1; 11; 15</t>
  </si>
  <si>
    <t>C35</t>
  </si>
  <si>
    <t>HC27</t>
  </si>
  <si>
    <t>TB</t>
  </si>
  <si>
    <t>HC58</t>
  </si>
  <si>
    <t>HC59</t>
  </si>
  <si>
    <t>C43</t>
  </si>
  <si>
    <t>NTDs</t>
  </si>
  <si>
    <t>C53</t>
  </si>
  <si>
    <t>FLH4</t>
  </si>
  <si>
    <t>C25</t>
  </si>
  <si>
    <t>Reproductive Health</t>
  </si>
  <si>
    <t>C18</t>
  </si>
  <si>
    <t>School-age Health</t>
  </si>
  <si>
    <t>C10</t>
  </si>
  <si>
    <t>RH10</t>
  </si>
  <si>
    <t>Musculoskeletal</t>
  </si>
  <si>
    <t>C34</t>
  </si>
  <si>
    <t>HC51</t>
  </si>
  <si>
    <t>FLH35</t>
  </si>
  <si>
    <t>HC47</t>
  </si>
  <si>
    <t>Cancer; Palliative Care</t>
  </si>
  <si>
    <t>12; 20</t>
  </si>
  <si>
    <t>HC54</t>
  </si>
  <si>
    <t>C47</t>
  </si>
  <si>
    <t>HC67</t>
  </si>
  <si>
    <t>Palliative Care</t>
  </si>
  <si>
    <t>HC21</t>
  </si>
  <si>
    <t>FLH54</t>
  </si>
  <si>
    <t>HC30</t>
  </si>
  <si>
    <t>FLH18</t>
  </si>
  <si>
    <t>FLH58</t>
  </si>
  <si>
    <t>Pathology</t>
  </si>
  <si>
    <t>HC35</t>
  </si>
  <si>
    <t>RH1</t>
  </si>
  <si>
    <t>C46</t>
  </si>
  <si>
    <t>C31</t>
  </si>
  <si>
    <t>HIV; Mental Health</t>
  </si>
  <si>
    <t>6; 13</t>
  </si>
  <si>
    <t>HC68</t>
  </si>
  <si>
    <t>HC20</t>
  </si>
  <si>
    <t>HC24</t>
  </si>
  <si>
    <t>HIV; Cancer</t>
  </si>
  <si>
    <t>6; 12</t>
  </si>
  <si>
    <t>FLH37</t>
  </si>
  <si>
    <t>C6</t>
  </si>
  <si>
    <t>Maternal and Newborn Health; HIV</t>
  </si>
  <si>
    <t>1; 6</t>
  </si>
  <si>
    <t>HC28</t>
  </si>
  <si>
    <t>C29</t>
  </si>
  <si>
    <t>FLH38</t>
  </si>
  <si>
    <t>FLH28</t>
  </si>
  <si>
    <t>Congenital Disorders</t>
  </si>
  <si>
    <t>C49</t>
  </si>
  <si>
    <t>Injury</t>
  </si>
  <si>
    <t>HC33</t>
  </si>
  <si>
    <t>C45</t>
  </si>
  <si>
    <t>HC43</t>
  </si>
  <si>
    <t>P7</t>
  </si>
  <si>
    <t>C55</t>
  </si>
  <si>
    <t>FLH55</t>
  </si>
  <si>
    <t>C17</t>
  </si>
  <si>
    <t>Child Health; Adult Febrile Illness</t>
  </si>
  <si>
    <t>2; 8</t>
  </si>
  <si>
    <t>FLH2</t>
  </si>
  <si>
    <t>P11</t>
  </si>
  <si>
    <t>P12</t>
  </si>
  <si>
    <t>HC37</t>
  </si>
  <si>
    <t>FLH14</t>
  </si>
  <si>
    <t>Reproductive Health; Surgery</t>
  </si>
  <si>
    <t>5; 18</t>
  </si>
  <si>
    <t>RH17</t>
  </si>
  <si>
    <t>C9</t>
  </si>
  <si>
    <t>HC12</t>
  </si>
  <si>
    <t>C56</t>
  </si>
  <si>
    <t>C37</t>
  </si>
  <si>
    <t>C7</t>
  </si>
  <si>
    <t>Maternal and Newborn Health; Adult Febrile Illness</t>
  </si>
  <si>
    <t>1; 8</t>
  </si>
  <si>
    <t>C27</t>
  </si>
  <si>
    <t>Reproductive Health; CVD</t>
  </si>
  <si>
    <t>5; 11</t>
  </si>
  <si>
    <t>FLH39</t>
  </si>
  <si>
    <t>HC26</t>
  </si>
  <si>
    <t>FLH3</t>
  </si>
  <si>
    <t>FLH8</t>
  </si>
  <si>
    <t>HC29</t>
  </si>
  <si>
    <t>C24</t>
  </si>
  <si>
    <t>4; 13</t>
  </si>
  <si>
    <t>Adolescent Health; Mental Health</t>
  </si>
  <si>
    <t>C3</t>
  </si>
  <si>
    <t>C42</t>
  </si>
  <si>
    <t>FLH20</t>
  </si>
  <si>
    <t>HC15</t>
  </si>
  <si>
    <t>FLH6</t>
  </si>
  <si>
    <t>HC17</t>
  </si>
  <si>
    <t>C21</t>
  </si>
  <si>
    <t>School-age Health; NTDs</t>
  </si>
  <si>
    <t>3; 9</t>
  </si>
  <si>
    <t>C41</t>
  </si>
  <si>
    <t>C15</t>
  </si>
  <si>
    <t>Child Health; School-age Health; Adult Febrile Illness</t>
  </si>
  <si>
    <t>2; 3; 8</t>
  </si>
  <si>
    <t>P1</t>
  </si>
  <si>
    <t>P3</t>
  </si>
  <si>
    <t>Adolescent Health; HIV; CVD; Musculoskeletal</t>
  </si>
  <si>
    <t>4; 6; 11; 14</t>
  </si>
  <si>
    <t>P2</t>
  </si>
  <si>
    <t>P13</t>
  </si>
  <si>
    <t xml:space="preserve">Environmental Health </t>
  </si>
  <si>
    <t>P4</t>
  </si>
  <si>
    <t>FLH5</t>
  </si>
  <si>
    <t>HC25</t>
  </si>
  <si>
    <t>HIV; Surgery</t>
  </si>
  <si>
    <t>6; 18</t>
  </si>
  <si>
    <t>FLH23</t>
  </si>
  <si>
    <t>HC44</t>
  </si>
  <si>
    <t>FLH56</t>
  </si>
  <si>
    <t>FLH40</t>
  </si>
  <si>
    <t>FLH7</t>
  </si>
  <si>
    <t>FLH15</t>
  </si>
  <si>
    <t>HC60</t>
  </si>
  <si>
    <t>HC2</t>
  </si>
  <si>
    <t>P6</t>
  </si>
  <si>
    <t>Adult Febrile Illness; NTDs; CVD</t>
  </si>
  <si>
    <t>8; 9; 11</t>
  </si>
  <si>
    <t>HC18</t>
  </si>
  <si>
    <t>Reproductive Health; HIV; Cancer; Surgery</t>
  </si>
  <si>
    <t>5; 6; 12; 18</t>
  </si>
  <si>
    <t>HC45</t>
  </si>
  <si>
    <t>C50</t>
  </si>
  <si>
    <t>RH6</t>
  </si>
  <si>
    <t>HC7</t>
  </si>
  <si>
    <t>HC8</t>
  </si>
  <si>
    <t>C11</t>
  </si>
  <si>
    <t>HC16</t>
  </si>
  <si>
    <t>HC22</t>
  </si>
  <si>
    <t>C36</t>
  </si>
  <si>
    <t>HC3</t>
  </si>
  <si>
    <t>FLH57</t>
  </si>
  <si>
    <t>C26</t>
  </si>
  <si>
    <t>C38</t>
  </si>
  <si>
    <t>HC55</t>
  </si>
  <si>
    <t>C4</t>
  </si>
  <si>
    <t>Maternal and Newborn Health; Child Health</t>
  </si>
  <si>
    <t>1; 2</t>
  </si>
  <si>
    <t>C30</t>
  </si>
  <si>
    <t>HC32</t>
  </si>
  <si>
    <t>HC14</t>
  </si>
  <si>
    <t>HC66</t>
  </si>
  <si>
    <t>HC50</t>
  </si>
  <si>
    <t>FLH17</t>
  </si>
  <si>
    <t>RH19</t>
  </si>
  <si>
    <t>RH3</t>
  </si>
  <si>
    <t>FLH42</t>
  </si>
  <si>
    <t>FLH43</t>
  </si>
  <si>
    <t>RH15</t>
  </si>
  <si>
    <t>RH12</t>
  </si>
  <si>
    <t>Congenital Disorders; Surgery</t>
  </si>
  <si>
    <t>15; 18</t>
  </si>
  <si>
    <t>RH13</t>
  </si>
  <si>
    <t>RH16</t>
  </si>
  <si>
    <t>FLH44</t>
  </si>
  <si>
    <t>FLH45</t>
  </si>
  <si>
    <t>HC61</t>
  </si>
  <si>
    <t>RH5</t>
  </si>
  <si>
    <t>HC65</t>
  </si>
  <si>
    <t>C12</t>
  </si>
  <si>
    <t>HC52</t>
  </si>
  <si>
    <t>C20</t>
  </si>
  <si>
    <t>School-age Health; Reproductive Health; HIV</t>
  </si>
  <si>
    <t>3; 5; 6</t>
  </si>
  <si>
    <t>C22</t>
  </si>
  <si>
    <t>Adolescent Health; Reproductive Health; HIV</t>
  </si>
  <si>
    <t>4; 5; 6</t>
  </si>
  <si>
    <t>HC39</t>
  </si>
  <si>
    <t>HC53</t>
  </si>
  <si>
    <t>Mental Health; Injury</t>
  </si>
  <si>
    <t>13; 16</t>
  </si>
  <si>
    <t>HC56</t>
  </si>
  <si>
    <t>FLH29</t>
  </si>
  <si>
    <t>C40</t>
  </si>
  <si>
    <t>FLH25</t>
  </si>
  <si>
    <t>HC41</t>
  </si>
  <si>
    <t>C54</t>
  </si>
  <si>
    <t>C48</t>
  </si>
  <si>
    <t>FLH41</t>
  </si>
  <si>
    <t>FLH12</t>
  </si>
  <si>
    <t>FLH19</t>
  </si>
  <si>
    <t>P8</t>
  </si>
  <si>
    <t>RH2</t>
  </si>
  <si>
    <t>RH20</t>
  </si>
  <si>
    <t>Stockpile and consider treating early high risk patients with antiviral medications according to nationally endorsed guidelines</t>
  </si>
  <si>
    <t>HC48</t>
  </si>
  <si>
    <t>FLH51</t>
  </si>
  <si>
    <t>P10</t>
  </si>
  <si>
    <t>FLH9</t>
  </si>
  <si>
    <t>FLH47</t>
  </si>
  <si>
    <t>RH18</t>
  </si>
  <si>
    <t>FLH10</t>
  </si>
  <si>
    <t>HC62</t>
  </si>
  <si>
    <t>P5</t>
  </si>
  <si>
    <t>C32</t>
  </si>
  <si>
    <t>C33</t>
  </si>
  <si>
    <t>HC23</t>
  </si>
  <si>
    <t>C5</t>
  </si>
  <si>
    <t>Maternal and Newborn Health; School-age Health; Reproductive Health</t>
  </si>
  <si>
    <t>1; 3; 5</t>
  </si>
  <si>
    <t>HC36</t>
  </si>
  <si>
    <t>FLH26</t>
  </si>
  <si>
    <t>HC46</t>
  </si>
  <si>
    <t>CVD; Cancer</t>
  </si>
  <si>
    <t>11; 12</t>
  </si>
  <si>
    <t>C58</t>
  </si>
  <si>
    <t>C59</t>
  </si>
  <si>
    <t>FLH48</t>
  </si>
  <si>
    <t>FLH49</t>
  </si>
  <si>
    <t>HC19</t>
  </si>
  <si>
    <t>C44</t>
  </si>
  <si>
    <t>HC42</t>
  </si>
  <si>
    <t>HC63</t>
  </si>
  <si>
    <t>RH7</t>
  </si>
  <si>
    <t>Cancer</t>
  </si>
  <si>
    <t>RH8</t>
  </si>
  <si>
    <t>RH9</t>
  </si>
  <si>
    <t>HC1</t>
  </si>
  <si>
    <t>FLH16</t>
  </si>
  <si>
    <t>FLH27</t>
  </si>
  <si>
    <t>FLH50</t>
  </si>
  <si>
    <t>RH11</t>
  </si>
  <si>
    <t>HC31</t>
  </si>
  <si>
    <t>C19</t>
  </si>
  <si>
    <t>C14</t>
  </si>
  <si>
    <t>Child Health; School-age Health; Reproductive Health; CVD</t>
  </si>
  <si>
    <t>2; 3; 5; 11</t>
  </si>
  <si>
    <t>C51</t>
  </si>
  <si>
    <t>Implemented in Country</t>
  </si>
  <si>
    <t>Governance, management, and administration</t>
  </si>
  <si>
    <t xml:space="preserve">Governance, management, and administration </t>
  </si>
  <si>
    <t>Spending</t>
  </si>
  <si>
    <t>GBD causes</t>
  </si>
  <si>
    <t>Diphtheria; Whooping cough; Tetanus; Tuberculosis; Measles; Acute hepatitis B; Cirrhosis and other chronic liver diseases due to hepatitis B; Liver cancer due to hepatitis B; H influenzae type B meningitis</t>
  </si>
  <si>
    <t>Tuberculosis; HIV-AIDS - Drug-susceptible Tuberculosis; HIV/AIDS - Multidrug-resistant Tuberculosis without extensive drug resistance; HIV/AIDS - Extensively drug-resistant Tuberculosis</t>
  </si>
  <si>
    <t>Latent tuberculosis infection</t>
  </si>
  <si>
    <t>Drug-susceptible tuberculosis; Multidrug-resistant tuberculosis without extensive drug resistance; Extensively drug-resistant tuberculosis; HIV-AIDS - Drug-susceptible Tuberculosis; HIV/AIDS - Multidrug-resistant Tuberculosis without extensive drug resistance; HIV/AIDS - Extensively drug-resistant Tuberculosis</t>
  </si>
  <si>
    <t>Multidrug-resistant tuberculosis without extensive drug resistance; Extensively drug-resistant tuberculosis; HIV/AIDS - Multidrug-resistant Tuberculosis without extensive drug resistance; HIV/AIDS - Extensively drug-resistant Tuberculosis</t>
  </si>
  <si>
    <t>Musculoskeletal disorders; Neurological disorders</t>
  </si>
  <si>
    <t>Maternal obstructed labor and uterine rupture</t>
  </si>
  <si>
    <t>Neonatal preterm birth</t>
  </si>
  <si>
    <t>HIV/AIDS; Syphilis</t>
  </si>
  <si>
    <t>Sexually transmitted diseases excluding HIV; Urinary tract infections</t>
  </si>
  <si>
    <t>Pneumococcal meningitis</t>
  </si>
  <si>
    <t>Neonatal disorders; Meningitis</t>
  </si>
  <si>
    <t>Nutritional deficiencies; Malaria; Measles; Diarrheal diseases; Lower respiratory infections; Upper respiratory infections</t>
  </si>
  <si>
    <t>HIV/AIDS; Sexually transmitted diseases excluding HIV; Acute hepatitis; Maternal deaths aggravated by HIV/AIDS</t>
  </si>
  <si>
    <t>Hypertensive heart disease; Chronic kidney disease due to hypertension; Maternal hypertensive disorders</t>
  </si>
  <si>
    <t>Oral disorders</t>
  </si>
  <si>
    <t>HIV/AIDS; Sexually transmitted diseases excluding HIV</t>
  </si>
  <si>
    <t xml:space="preserve">Maternal disorders; Neonatal disorders; </t>
  </si>
  <si>
    <t>HIV/AIDS; Sexually transmitted diseases excluding HIV; Schizophrenia; Alcohol use disorders; Depressive disorders; Bipolar disorder; Anxiety disorders; Eating disorders; Attention-deficit/hyperactivity disorder; Conduct disorder; Other mental and substance use disorders</t>
  </si>
  <si>
    <t>Anxiety disorders; Attention-deficit/hyperactivity disorder; Conduct disorder</t>
  </si>
  <si>
    <t>Skin and subcutaneous diseases</t>
  </si>
  <si>
    <t>Vitamin A deficiency; Other nutritional deficiencies</t>
  </si>
  <si>
    <t>Maternal hypertensive disorders</t>
  </si>
  <si>
    <t>Sexually transmitted diseases excluding HIV; Self-harm and interpersonal violence</t>
  </si>
  <si>
    <t>Malaria; Diarrheal diseases; Pneumococcal meningitis; Nutritional deficiencies</t>
  </si>
  <si>
    <t>Ischemic heart disease; Stroke; Ischemic stroke; Peripheral artery disease</t>
  </si>
  <si>
    <t>Depressive disorders; Anxiety disorders</t>
  </si>
  <si>
    <t>Diarrheal diseases</t>
  </si>
  <si>
    <t>Relative Risk</t>
  </si>
  <si>
    <t>RR LB</t>
  </si>
  <si>
    <t>RR HB</t>
  </si>
  <si>
    <t>Outcome measured</t>
  </si>
  <si>
    <t>Mortality</t>
  </si>
  <si>
    <t>Protection against cervical cancer</t>
  </si>
  <si>
    <t>-</t>
  </si>
  <si>
    <t>Safer sexual behaviour (such as condom use for sexual intercourse)</t>
  </si>
  <si>
    <t>OR 1.75</t>
  </si>
  <si>
    <t>Infeciousness, day 3-4</t>
  </si>
  <si>
    <t>Risk of falling, elderly</t>
  </si>
  <si>
    <t>Stillbirths</t>
  </si>
  <si>
    <t>Unintended pregnancy at 1st year</t>
  </si>
  <si>
    <t>Treatment success</t>
  </si>
  <si>
    <t>Amputation-free survival</t>
  </si>
  <si>
    <t>In hospital mortality</t>
  </si>
  <si>
    <t>Number of tender joints</t>
  </si>
  <si>
    <t>Hospitalization in the first 6 months of life</t>
  </si>
  <si>
    <t>Morbidity after the procedure</t>
  </si>
  <si>
    <t>Stoma prolapse</t>
  </si>
  <si>
    <t>reduced fracture positions</t>
  </si>
  <si>
    <t>gallstone-related complications</t>
  </si>
  <si>
    <t>Healing rate (of skin lesions)</t>
  </si>
  <si>
    <t>The Sickness Impact Profile (SIP) at 24 months</t>
  </si>
  <si>
    <t>Hospitalization</t>
  </si>
  <si>
    <t>Preterm birth among pregnants with RTIs</t>
  </si>
  <si>
    <t>HIV infections averted</t>
  </si>
  <si>
    <t>risk of death or severe HIV-related illness</t>
  </si>
  <si>
    <t>Identification of latent TB</t>
  </si>
  <si>
    <t>Small for gestational age</t>
  </si>
  <si>
    <t>Reduction in vascular deaths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</si>
  <si>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</si>
  <si>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</si>
  <si>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</si>
  <si>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</si>
  <si>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</si>
  <si>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 xml:space="preserve">Mortality </t>
  </si>
  <si>
    <t>Wound healing</t>
  </si>
  <si>
    <t>Fatigue post intervention</t>
  </si>
  <si>
    <t xml:space="preserve">PPI (pupae per person index) </t>
  </si>
  <si>
    <t>maxillary advancement</t>
  </si>
  <si>
    <t>Satisfactory outcome with functional and pain free feet</t>
  </si>
  <si>
    <t xml:space="preserve"> postoperative visual acuity of 20/40 or better</t>
  </si>
  <si>
    <t>Quality of life (after correction)</t>
  </si>
  <si>
    <t>Successful obstetric fistula repair</t>
  </si>
  <si>
    <t>post-operative trichiasis</t>
  </si>
  <si>
    <t>Hospital mortality</t>
  </si>
  <si>
    <t xml:space="preserve">Visual acuity </t>
  </si>
  <si>
    <t>Death</t>
  </si>
  <si>
    <t>local recurrence of the cancer</t>
  </si>
  <si>
    <t>Incidence</t>
  </si>
  <si>
    <t>Prevalence</t>
  </si>
  <si>
    <t>Incidence; Mortality</t>
  </si>
  <si>
    <t>Genital herpes</t>
  </si>
  <si>
    <t>Coverage</t>
  </si>
  <si>
    <t>Maternal sepsis and other maternal infections</t>
  </si>
  <si>
    <t>Peptic ulcer disease</t>
  </si>
  <si>
    <t>Urinary diseases and male infertility</t>
  </si>
  <si>
    <t>Rheumatoid arthritis</t>
  </si>
  <si>
    <t>Other musculoskeletal disorders</t>
  </si>
  <si>
    <t>Inguinal, femoral, and abdominal hernia</t>
  </si>
  <si>
    <t>Appendicitis</t>
  </si>
  <si>
    <t>Other digestive diseases</t>
  </si>
  <si>
    <t>Other cardiovascular and circulatory diseases</t>
  </si>
  <si>
    <t>Maternal obstructed labor and uterine rupture; Maternal hemorrhage</t>
  </si>
  <si>
    <t>Malaria; HIV/AIDS; Tuberculosis; HIV-AIDS - Drug-susceptible Tuberculosis; HIV/AIDS - Multidrug-resistant Tuberculosis without extensive drug resistance; HIV/AIDS - Extensively drug-resistant Tuberculosis; Chronic obstructive pulmonary disease; Sexually transmitted diseases excluding HIV; Diarrheal diseases; Rheumatic heart disease; Diphtheria; Tetanus; Lymphatic filariasis</t>
  </si>
  <si>
    <r>
      <rPr>
        <sz val="12"/>
        <color rgb="FFFF0000"/>
        <rFont val="Calibri (Body)_x0000_"/>
      </rPr>
      <t>Iron‐deficiency anemia;</t>
    </r>
    <r>
      <rPr>
        <sz val="12"/>
        <color theme="1"/>
        <rFont val="Calibri"/>
        <family val="2"/>
        <scheme val="minor"/>
      </rPr>
      <t xml:space="preserve"> Other nutritional deficiencies</t>
    </r>
  </si>
  <si>
    <t>cause</t>
  </si>
  <si>
    <t>dalys</t>
  </si>
  <si>
    <t>deaths</t>
  </si>
  <si>
    <t>prevalence</t>
  </si>
  <si>
    <t>Acne vulgaris</t>
  </si>
  <si>
    <t>Acute glomerulonephritis</t>
  </si>
  <si>
    <t>Acute hepatitis A</t>
  </si>
  <si>
    <t>Acute hepatitis E</t>
  </si>
  <si>
    <t>Acute lymphoid leukemia</t>
  </si>
  <si>
    <t>Acute myeloid leukemia</t>
  </si>
  <si>
    <t>Adverse effects of medical treatment</t>
  </si>
  <si>
    <t>African trypanosomiasis</t>
  </si>
  <si>
    <t>Age-related and other hearing loss</t>
  </si>
  <si>
    <t>Alcoholic cardiomyopathy</t>
  </si>
  <si>
    <t>All causes</t>
  </si>
  <si>
    <t>Alopecia areata</t>
  </si>
  <si>
    <t>Alzheimer disease and other dementias</t>
  </si>
  <si>
    <t>Amphetamine use disorders</t>
  </si>
  <si>
    <t>Animal contact</t>
  </si>
  <si>
    <t>Anorexia nervosa</t>
  </si>
  <si>
    <t>Anxiety disorders</t>
  </si>
  <si>
    <t>Aortic aneurysm</t>
  </si>
  <si>
    <t>Asbestosis</t>
  </si>
  <si>
    <t>Ascariasis</t>
  </si>
  <si>
    <t>Asperger syndrome and other autistic spectrum disorders</t>
  </si>
  <si>
    <t>Asthma</t>
  </si>
  <si>
    <t>Atrial fibrillation and flutter</t>
  </si>
  <si>
    <t>Attention-deficit/hyperactivity disorder</t>
  </si>
  <si>
    <t>Autism</t>
  </si>
  <si>
    <t>Autistic spectrum disorders</t>
  </si>
  <si>
    <t>Benign prostatic hyperplasia</t>
  </si>
  <si>
    <t>Bladder cancer</t>
  </si>
  <si>
    <t>Brain and nervous system cancer</t>
  </si>
  <si>
    <t>Breast cancer</t>
  </si>
  <si>
    <t>Bulimia nervosa</t>
  </si>
  <si>
    <t>Cannabis use disorders</t>
  </si>
  <si>
    <t>Cardiomyopathy and myocarditis</t>
  </si>
  <si>
    <t>Caries of deciduous teeth</t>
  </si>
  <si>
    <t>Caries of permanent teeth</t>
  </si>
  <si>
    <t>Cataract</t>
  </si>
  <si>
    <t>Cellulitis</t>
  </si>
  <si>
    <t>Cerebrovascular disease</t>
  </si>
  <si>
    <t>Cervical cancer</t>
  </si>
  <si>
    <t>Chagas disease</t>
  </si>
  <si>
    <t>Chlamydial infection</t>
  </si>
  <si>
    <t>Chronic kidney disease</t>
  </si>
  <si>
    <t>Chronic kidney disease due to diabetes mellitus</t>
  </si>
  <si>
    <t>Chronic kidney disease due to glomerulonephritis</t>
  </si>
  <si>
    <t>Chronic kidney disease due to hypertension</t>
  </si>
  <si>
    <t>Chronic kidney disease due to other causes</t>
  </si>
  <si>
    <t>Chronic lymphoid leukemia</t>
  </si>
  <si>
    <t>Chronic myeloid leukemia</t>
  </si>
  <si>
    <t>Chronic obstructive pulmonary disease</t>
  </si>
  <si>
    <t>Chronic respiratory diseases</t>
  </si>
  <si>
    <t>Cirrhosis and other chronic liver diseases</t>
  </si>
  <si>
    <t>Cirrhosis and other chronic liver diseases due to alcohol use</t>
  </si>
  <si>
    <t>Cirrhosis and other chronic liver diseases due to hepatitis B</t>
  </si>
  <si>
    <t>Cirrhosis and other chronic liver diseases due to hepatitis C</t>
  </si>
  <si>
    <t>Cirrhosis and other chronic liver diseases due to other causes</t>
  </si>
  <si>
    <t>Coal workers pneumoconiosis</t>
  </si>
  <si>
    <t>Cocaine use disorders</t>
  </si>
  <si>
    <t>Colon and rectum cancer</t>
  </si>
  <si>
    <t>Communicable, maternal, neonatal, and nutritional diseases</t>
  </si>
  <si>
    <t>Conduct disorder</t>
  </si>
  <si>
    <t>Conflict and terrorism</t>
  </si>
  <si>
    <t>Congenital birth defects</t>
  </si>
  <si>
    <t>Congenital heart anomalies</t>
  </si>
  <si>
    <t>Congenital musculoskeletal and limb anomalies</t>
  </si>
  <si>
    <t>Cutaneous and mucocutaneous leishmaniasis</t>
  </si>
  <si>
    <t>Cyclist road injuries</t>
  </si>
  <si>
    <t>Cystic echinococcosis</t>
  </si>
  <si>
    <t>Cysticercosis</t>
  </si>
  <si>
    <t>Decubitus ulcer</t>
  </si>
  <si>
    <t>Dengue</t>
  </si>
  <si>
    <t>Depressive disorders</t>
  </si>
  <si>
    <t>Dermatitis</t>
  </si>
  <si>
    <t>Diabetes, urogenital, blood, and endocrine diseases</t>
  </si>
  <si>
    <t>Diarrhea, lower respiratory, and other common infectious diseases</t>
  </si>
  <si>
    <t>Digestive congenital anomalies</t>
  </si>
  <si>
    <t>Digestive diseases</t>
  </si>
  <si>
    <t>Diphtheria</t>
  </si>
  <si>
    <t>Down syndrome</t>
  </si>
  <si>
    <t>Drowning</t>
  </si>
  <si>
    <t>Drug use disorders</t>
  </si>
  <si>
    <t>Drug-susceptible HIV/AIDS - Tuberculosis</t>
  </si>
  <si>
    <t>Drug-susceptible tuberculosis</t>
  </si>
  <si>
    <t>Dysthymia</t>
  </si>
  <si>
    <t>Eating disorders</t>
  </si>
  <si>
    <t>Ebola</t>
  </si>
  <si>
    <t>Edentulism and severe tooth loss</t>
  </si>
  <si>
    <t>Encephalitis</t>
  </si>
  <si>
    <t>Endocarditis</t>
  </si>
  <si>
    <t>Endocrine, metabolic, blood, and immune disorders</t>
  </si>
  <si>
    <t>Endometriosis</t>
  </si>
  <si>
    <t>Environmental heat and cold exposure</t>
  </si>
  <si>
    <t>Esophageal cancer</t>
  </si>
  <si>
    <t>Executions and police conflict</t>
  </si>
  <si>
    <t>Exposure to forces of nature</t>
  </si>
  <si>
    <t>Exposure to mechanical forces</t>
  </si>
  <si>
    <t>Extensively drug-resistant HIV/AIDS - Tuberculosis</t>
  </si>
  <si>
    <t>Extensively drug-resistant tuberculosis</t>
  </si>
  <si>
    <t>Falls</t>
  </si>
  <si>
    <t>Female infertility</t>
  </si>
  <si>
    <t>Fire, heat, and hot substances</t>
  </si>
  <si>
    <t>Food-borne trematodiases</t>
  </si>
  <si>
    <t>Forces of nature, conflict and terrorism, and executions and police conflict</t>
  </si>
  <si>
    <t>Foreign body</t>
  </si>
  <si>
    <t>Foreign body in eyes</t>
  </si>
  <si>
    <t>Foreign body in other body part</t>
  </si>
  <si>
    <t>Fungal skin diseases</t>
  </si>
  <si>
    <t>G6PD deficiency</t>
  </si>
  <si>
    <t>G6PD trait</t>
  </si>
  <si>
    <t>Gallbladder and biliary diseases</t>
  </si>
  <si>
    <t>Gallbladder and biliary tract cancer</t>
  </si>
  <si>
    <t>Gastritis and duodenitis</t>
  </si>
  <si>
    <t>Genital prolapse</t>
  </si>
  <si>
    <t>Glaucoma</t>
  </si>
  <si>
    <t>Gonococcal infection</t>
  </si>
  <si>
    <t>Gout</t>
  </si>
  <si>
    <t>Guinea worm disease</t>
  </si>
  <si>
    <t>Gynecological diseases</t>
  </si>
  <si>
    <t>H influenzae type B meningitis</t>
  </si>
  <si>
    <t>Hemoglobinopathies and hemolytic anemias</t>
  </si>
  <si>
    <t>Hemorrhagic stroke</t>
  </si>
  <si>
    <t>Hepatitis</t>
  </si>
  <si>
    <t>Hepatitis B</t>
  </si>
  <si>
    <t>Hepatitis C</t>
  </si>
  <si>
    <t>HIV/AIDS and tuberculosis</t>
  </si>
  <si>
    <t>HIV/AIDS resulting in other diseases</t>
  </si>
  <si>
    <t>Hodgkin lymphoma</t>
  </si>
  <si>
    <t>Hookworm disease</t>
  </si>
  <si>
    <t>Hypertensive heart disease</t>
  </si>
  <si>
    <t>Idiopathic developmental intellectual disability</t>
  </si>
  <si>
    <t>Indirect maternal deaths</t>
  </si>
  <si>
    <t>Inflammatory bowel disease</t>
  </si>
  <si>
    <t>Injuries</t>
  </si>
  <si>
    <t>Interpersonal violence</t>
  </si>
  <si>
    <t>Interstitial lung disease and pulmonary sarcoidosis</t>
  </si>
  <si>
    <t>Interstitial nephritis and urinary tract infections</t>
  </si>
  <si>
    <t>Intestinal infectious diseases</t>
  </si>
  <si>
    <t>Intestinal nematode infections</t>
  </si>
  <si>
    <t>Iodine deficiency</t>
  </si>
  <si>
    <t>Iron-deficiency anemia</t>
  </si>
  <si>
    <t>Ischemic heart disease</t>
  </si>
  <si>
    <t>Ischemic stroke</t>
  </si>
  <si>
    <t>Kidney cancer</t>
  </si>
  <si>
    <t>Klinefelter syndrome</t>
  </si>
  <si>
    <t>Larynx cancer</t>
  </si>
  <si>
    <t>Late maternal deaths</t>
  </si>
  <si>
    <t>Leishmaniasis</t>
  </si>
  <si>
    <t>Leprosy</t>
  </si>
  <si>
    <t>Leukemia</t>
  </si>
  <si>
    <t>Lip and oral cavity cancer</t>
  </si>
  <si>
    <t>Liver cancer</t>
  </si>
  <si>
    <t>Liver cancer due to alcohol use</t>
  </si>
  <si>
    <t>Liver cancer due to hepatitis B</t>
  </si>
  <si>
    <t>Liver cancer due to hepatitis C</t>
  </si>
  <si>
    <t>Liver cancer due to other causes</t>
  </si>
  <si>
    <t>Low back and neck pain</t>
  </si>
  <si>
    <t>Low back pain</t>
  </si>
  <si>
    <t>Lower respiratory infections</t>
  </si>
  <si>
    <t>Macular degeneration</t>
  </si>
  <si>
    <t>Major depressive disorder</t>
  </si>
  <si>
    <t>Male infertility</t>
  </si>
  <si>
    <t>Malignant skin melanoma</t>
  </si>
  <si>
    <t>Maternal deaths aggravated by HIV/AIDS</t>
  </si>
  <si>
    <t>Maternal disorders</t>
  </si>
  <si>
    <t>Maternal hemorrhage</t>
  </si>
  <si>
    <t>Measles</t>
  </si>
  <si>
    <t>Meningitis</t>
  </si>
  <si>
    <t>Meningococcal meningitis</t>
  </si>
  <si>
    <t>Mental and substance use disorders</t>
  </si>
  <si>
    <t>Mesothelioma</t>
  </si>
  <si>
    <t>Migraine</t>
  </si>
  <si>
    <t>Motor neuron disease</t>
  </si>
  <si>
    <t>Motor vehicle road injuries</t>
  </si>
  <si>
    <t>Motorcyclist road injuries</t>
  </si>
  <si>
    <t>Multidrug-resistant HIV/AIDS - Tuberculosis without extensive drug resistance</t>
  </si>
  <si>
    <t>Multidrug-resistant tuberculosis without extensive drug resistance</t>
  </si>
  <si>
    <t>Multiple myeloma</t>
  </si>
  <si>
    <t>Multiple sclerosis</t>
  </si>
  <si>
    <t>Myocarditis</t>
  </si>
  <si>
    <t>Nasopharynx cancer</t>
  </si>
  <si>
    <t>Neck pain</t>
  </si>
  <si>
    <t>Neglected tropical diseases and malaria</t>
  </si>
  <si>
    <t>Neonatal disorders</t>
  </si>
  <si>
    <t>Neonatal encephalopathy due to birth asphyxia and trauma</t>
  </si>
  <si>
    <t>Neonatal preterm birth complications</t>
  </si>
  <si>
    <t>Neoplasms</t>
  </si>
  <si>
    <t>Neural tube defects</t>
  </si>
  <si>
    <t>Neurological disorders</t>
  </si>
  <si>
    <t>Non-communicable diseases</t>
  </si>
  <si>
    <t>Non-Hodgkin lymphoma</t>
  </si>
  <si>
    <t>Non-melanoma skin cancer</t>
  </si>
  <si>
    <t>Non-melanoma skin cancer (basal-cell carcinoma)</t>
  </si>
  <si>
    <t>Non-melanoma skin cancer (squamous-cell carcinoma)</t>
  </si>
  <si>
    <t>Non-venomous animal contact</t>
  </si>
  <si>
    <t>Onchocerciasis</t>
  </si>
  <si>
    <t>Opioid use disorders</t>
  </si>
  <si>
    <t>Orofacial clefts</t>
  </si>
  <si>
    <t>Osteoarthritis</t>
  </si>
  <si>
    <t>Other cardiomyopathy</t>
  </si>
  <si>
    <t>Other chromosomal abnormalities</t>
  </si>
  <si>
    <t>Other chronic respiratory diseases</t>
  </si>
  <si>
    <t>Other communicable, maternal, neonatal, and nutritional diseases</t>
  </si>
  <si>
    <t>Other congenital birth defects</t>
  </si>
  <si>
    <t>Other drug use disorders</t>
  </si>
  <si>
    <t>Other exposure to mechanical forces</t>
  </si>
  <si>
    <t>Other gynecological diseases</t>
  </si>
  <si>
    <t>Other hemoglobinopathies and hemolytic anemias</t>
  </si>
  <si>
    <t>Other infectious diseases</t>
  </si>
  <si>
    <t>Other intestinal infectious diseases</t>
  </si>
  <si>
    <t>Other leukemia</t>
  </si>
  <si>
    <t>Other maternal disorders</t>
  </si>
  <si>
    <t>Other meningitis</t>
  </si>
  <si>
    <t>Other mental and substance use disorders</t>
  </si>
  <si>
    <t>Other neglected tropical diseases</t>
  </si>
  <si>
    <t>Other neoplasms</t>
  </si>
  <si>
    <t>Other neurological disorders</t>
  </si>
  <si>
    <t>Other non-communicable diseases</t>
  </si>
  <si>
    <t>Other nutritional deficiencies</t>
  </si>
  <si>
    <t>Other oral disorders</t>
  </si>
  <si>
    <t>Other pharynx cancer</t>
  </si>
  <si>
    <t>Other pneumoconiosis</t>
  </si>
  <si>
    <t>Other road injuries</t>
  </si>
  <si>
    <t>Other sense organ diseases</t>
  </si>
  <si>
    <t>Other sexually transmitted diseases</t>
  </si>
  <si>
    <t>Other skin and subcutaneous diseases</t>
  </si>
  <si>
    <t>Other transport injuries</t>
  </si>
  <si>
    <t>Other unintentional injuries</t>
  </si>
  <si>
    <t>Other urinary diseases</t>
  </si>
  <si>
    <t>Other vision loss</t>
  </si>
  <si>
    <t>Otitis media</t>
  </si>
  <si>
    <t>Ovarian cancer</t>
  </si>
  <si>
    <t>Pancreatic cancer</t>
  </si>
  <si>
    <t>Pancreatitis</t>
  </si>
  <si>
    <t>Paralytic ileus and intestinal obstruction</t>
  </si>
  <si>
    <t>Paratyphoid fever</t>
  </si>
  <si>
    <t>Parkinson disease</t>
  </si>
  <si>
    <t>Pedestrian road injuries</t>
  </si>
  <si>
    <t>Periodontal diseases</t>
  </si>
  <si>
    <t>Peripheral artery disease</t>
  </si>
  <si>
    <t>Physical violence by firearm</t>
  </si>
  <si>
    <t>Physical violence by other means</t>
  </si>
  <si>
    <t>Physical violence by sharp object</t>
  </si>
  <si>
    <t>Pneumoconiosis</t>
  </si>
  <si>
    <t>Polycystic ovarian syndrome</t>
  </si>
  <si>
    <t>Premenstrual syndrome</t>
  </si>
  <si>
    <t>Prostate cancer</t>
  </si>
  <si>
    <t>Protein-energy malnutrition</t>
  </si>
  <si>
    <t>Pruritus</t>
  </si>
  <si>
    <t>Psoriasis</t>
  </si>
  <si>
    <t>Pulmonary aspiration and foreign body in airway</t>
  </si>
  <si>
    <t>Pyoderma</t>
  </si>
  <si>
    <t>Rabies</t>
  </si>
  <si>
    <t>Refraction and accommodation disorders</t>
  </si>
  <si>
    <t>Rheumatic heart disease</t>
  </si>
  <si>
    <t>Road injuries</t>
  </si>
  <si>
    <t>Scabies</t>
  </si>
  <si>
    <t>Schistosomiasis</t>
  </si>
  <si>
    <t>Self-harm</t>
  </si>
  <si>
    <t>Self-harm and interpersonal violence</t>
  </si>
  <si>
    <t>Self-harm by firearm</t>
  </si>
  <si>
    <t>Self-harm by other specified means</t>
  </si>
  <si>
    <t>Sense organ diseases</t>
  </si>
  <si>
    <t>Sexual violence</t>
  </si>
  <si>
    <t>Sexually transmitted diseases excluding HIV</t>
  </si>
  <si>
    <t>Sickle cell disorders</t>
  </si>
  <si>
    <t>Sickle cell trait</t>
  </si>
  <si>
    <t>Silicosis</t>
  </si>
  <si>
    <t>Stomach cancer</t>
  </si>
  <si>
    <t>Sudden infant death syndrome</t>
  </si>
  <si>
    <t>Syphilis</t>
  </si>
  <si>
    <t>Tension-type headache</t>
  </si>
  <si>
    <t>Testicular cancer</t>
  </si>
  <si>
    <t>Thalassemias</t>
  </si>
  <si>
    <t>Thalassemias trait</t>
  </si>
  <si>
    <t>Thyroid cancer</t>
  </si>
  <si>
    <t>Tracheal, bronchus, and lung cancer</t>
  </si>
  <si>
    <t>Trachoma</t>
  </si>
  <si>
    <t>Transport injuries</t>
  </si>
  <si>
    <t>Trichomoniasis</t>
  </si>
  <si>
    <t>Trichuriasis</t>
  </si>
  <si>
    <t>Tuberculosis</t>
  </si>
  <si>
    <t>Turner syndrome</t>
  </si>
  <si>
    <t>Typhoid fever</t>
  </si>
  <si>
    <t>Unintentional firearm injuries</t>
  </si>
  <si>
    <t>Unintentional injuries</t>
  </si>
  <si>
    <t>Unintentional suffocation</t>
  </si>
  <si>
    <t>Upper respiratory infections</t>
  </si>
  <si>
    <t>Urogenital congenital anomalies</t>
  </si>
  <si>
    <t>Urolithiasis</t>
  </si>
  <si>
    <t>Urticaria</t>
  </si>
  <si>
    <t>Uterine cancer</t>
  </si>
  <si>
    <t>Uterine fibroids</t>
  </si>
  <si>
    <t>Varicella and herpes zoster</t>
  </si>
  <si>
    <t>Vascular intestinal disorders</t>
  </si>
  <si>
    <t>Venomous animal contact</t>
  </si>
  <si>
    <t>Viral skin diseases</t>
  </si>
  <si>
    <t>Visceral leishmaniasis</t>
  </si>
  <si>
    <t>Vitamin A deficiency</t>
  </si>
  <si>
    <t>Whooping cough</t>
  </si>
  <si>
    <t>Yellow fever</t>
  </si>
  <si>
    <t>cause1</t>
  </si>
  <si>
    <t>cause1weight</t>
  </si>
  <si>
    <t>cause2</t>
  </si>
  <si>
    <t>cause2weight</t>
  </si>
  <si>
    <t>cause3</t>
  </si>
  <si>
    <t>cause3weight</t>
  </si>
  <si>
    <t>Acute hepatitis</t>
  </si>
  <si>
    <t>Urinary tract infections</t>
  </si>
  <si>
    <t>Iron‐deficiency anemia</t>
  </si>
  <si>
    <t>Stroke</t>
  </si>
  <si>
    <t>Poisonings</t>
  </si>
  <si>
    <t>Zika virus</t>
  </si>
  <si>
    <t>second cause</t>
  </si>
  <si>
    <t>third cause</t>
  </si>
  <si>
    <t>DALYs averted</t>
  </si>
  <si>
    <t>DALYs averted using original spending</t>
  </si>
  <si>
    <t>New Spending</t>
  </si>
  <si>
    <t>Coverage number</t>
  </si>
  <si>
    <r>
      <rPr>
        <b/>
        <sz val="12"/>
        <color theme="7"/>
        <rFont val="Calibri"/>
        <family val="2"/>
        <scheme val="minor"/>
      </rPr>
      <t>deaths</t>
    </r>
    <r>
      <rPr>
        <sz val="12"/>
        <color theme="7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</si>
</sst>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theme="1"/>
      <name val="Calibri"/>
      <family val="2"/>
    </font>
    <font>
      <sz val="12"/>
      <color rgb="FFFF0000"/>
      <name val="Calibri (Body)_x0000_"/>
    </font>
    <font>
      <sz val="12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6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9" fillId="0" borderId="0" xfId="445" applyNumberFormat="1" applyFont="1" applyFill="1" applyAlignment="1">
      <alignment wrapText="1"/>
    </xf>
    <xf numFmtId="0" fontId="0" fillId="2" borderId="0" xfId="0" applyFill="1" applyAlignment="1">
      <alignment horizontal="right" wrapText="1"/>
    </xf>
    <xf numFmtId="164" fontId="0" fillId="0" borderId="0" xfId="445" applyNumberFormat="1" applyFont="1"/>
    <xf numFmtId="164" fontId="0" fillId="0" borderId="0" xfId="445" applyNumberFormat="1" applyFont="1" applyAlignment="1">
      <alignment horizontal="right"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0" fillId="0" borderId="0" xfId="462" applyFont="1"/>
    <xf numFmtId="9" fontId="0" fillId="0" borderId="0" xfId="462" applyFont="1" applyFill="1"/>
    <xf numFmtId="43" fontId="0" fillId="0" borderId="0" xfId="445" applyFont="1"/>
    <xf numFmtId="43" fontId="0" fillId="0" borderId="0" xfId="445" applyFont="1" applyAlignment="1">
      <alignment wrapText="1"/>
    </xf>
    <xf numFmtId="43" fontId="0" fillId="0" borderId="0" xfId="445" applyFont="1" applyFill="1" applyAlignment="1">
      <alignment wrapText="1"/>
    </xf>
    <xf numFmtId="164" fontId="8" fillId="0" borderId="0" xfId="445" applyNumberFormat="1" applyFont="1" applyFill="1" applyAlignment="1">
      <alignment wrapText="1"/>
    </xf>
    <xf numFmtId="164" fontId="0" fillId="0" borderId="0" xfId="445" applyNumberFormat="1" applyFont="1" applyFill="1"/>
    <xf numFmtId="0" fontId="5" fillId="0" borderId="1" xfId="0" applyFont="1" applyFill="1" applyBorder="1" applyAlignment="1">
      <alignment vertical="center" wrapText="1"/>
    </xf>
    <xf numFmtId="164" fontId="5" fillId="0" borderId="1" xfId="445" applyNumberFormat="1" applyFont="1" applyFill="1" applyBorder="1" applyAlignment="1">
      <alignment vertical="center" wrapText="1"/>
    </xf>
    <xf numFmtId="43" fontId="5" fillId="0" borderId="1" xfId="445" applyFont="1" applyFill="1" applyBorder="1" applyAlignment="1">
      <alignment vertical="center" wrapText="1"/>
    </xf>
    <xf numFmtId="9" fontId="5" fillId="0" borderId="1" xfId="462" applyFont="1" applyFill="1" applyBorder="1" applyAlignment="1">
      <alignment vertical="center"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43" fontId="0" fillId="0" borderId="0" xfId="445" applyFont="1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wrapText="1"/>
    </xf>
    <xf numFmtId="164" fontId="0" fillId="4" borderId="0" xfId="445" applyNumberFormat="1" applyFont="1" applyFill="1" applyAlignment="1">
      <alignment horizontal="right" wrapText="1"/>
    </xf>
    <xf numFmtId="43" fontId="0" fillId="4" borderId="0" xfId="445" applyFont="1" applyFill="1" applyAlignment="1">
      <alignment wrapText="1"/>
    </xf>
    <xf numFmtId="0" fontId="0" fillId="4" borderId="0" xfId="0" applyFill="1"/>
    <xf numFmtId="164" fontId="6" fillId="4" borderId="0" xfId="445" applyNumberFormat="1" applyFont="1" applyFill="1" applyAlignment="1">
      <alignment wrapText="1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  <xf numFmtId="9" fontId="0" fillId="4" borderId="0" xfId="462" applyFont="1" applyFill="1"/>
    <xf numFmtId="164" fontId="0" fillId="4" borderId="0" xfId="445" applyNumberFormat="1" applyFont="1" applyFill="1" applyAlignment="1">
      <alignment wrapText="1"/>
    </xf>
    <xf numFmtId="0" fontId="0" fillId="4" borderId="0" xfId="0" applyFont="1" applyFill="1" applyAlignment="1">
      <alignment wrapText="1"/>
    </xf>
    <xf numFmtId="164" fontId="0" fillId="4" borderId="0" xfId="445" applyNumberFormat="1" applyFont="1" applyFill="1"/>
    <xf numFmtId="164" fontId="7" fillId="4" borderId="0" xfId="445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wrapText="1"/>
    </xf>
    <xf numFmtId="164" fontId="0" fillId="5" borderId="0" xfId="445" applyNumberFormat="1" applyFont="1" applyFill="1" applyAlignment="1">
      <alignment horizontal="right" wrapText="1"/>
    </xf>
    <xf numFmtId="43" fontId="0" fillId="5" borderId="0" xfId="445" applyFont="1" applyFill="1" applyAlignment="1">
      <alignment wrapText="1"/>
    </xf>
    <xf numFmtId="0" fontId="0" fillId="5" borderId="0" xfId="0" applyFill="1"/>
    <xf numFmtId="164" fontId="0" fillId="5" borderId="0" xfId="445" applyNumberFormat="1" applyFont="1" applyFill="1" applyAlignment="1">
      <alignment wrapText="1"/>
    </xf>
    <xf numFmtId="9" fontId="0" fillId="5" borderId="0" xfId="462" applyFont="1" applyFill="1"/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wrapText="1"/>
    </xf>
    <xf numFmtId="164" fontId="0" fillId="6" borderId="0" xfId="445" applyNumberFormat="1" applyFont="1" applyFill="1" applyAlignment="1">
      <alignment horizontal="right" wrapText="1"/>
    </xf>
    <xf numFmtId="43" fontId="0" fillId="6" borderId="0" xfId="445" applyFont="1" applyFill="1" applyAlignment="1">
      <alignment wrapText="1"/>
    </xf>
    <xf numFmtId="0" fontId="0" fillId="6" borderId="0" xfId="0" applyFill="1"/>
    <xf numFmtId="164" fontId="0" fillId="6" borderId="0" xfId="445" applyNumberFormat="1" applyFont="1" applyFill="1" applyAlignment="1">
      <alignment wrapText="1"/>
    </xf>
    <xf numFmtId="9" fontId="0" fillId="6" borderId="0" xfId="462" applyFont="1" applyFill="1"/>
    <xf numFmtId="164" fontId="0" fillId="6" borderId="0" xfId="445" applyNumberFormat="1" applyFont="1" applyFill="1"/>
    <xf numFmtId="0" fontId="6" fillId="6" borderId="0" xfId="0" applyFont="1" applyFill="1" applyAlignment="1">
      <alignment wrapText="1"/>
    </xf>
    <xf numFmtId="164" fontId="7" fillId="6" borderId="0" xfId="445" applyNumberFormat="1" applyFont="1" applyFill="1" applyAlignment="1">
      <alignment wrapText="1"/>
    </xf>
    <xf numFmtId="164" fontId="8" fillId="6" borderId="0" xfId="445" quotePrefix="1" applyNumberFormat="1" applyFont="1" applyFill="1" applyAlignment="1">
      <alignment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 wrapText="1"/>
    </xf>
    <xf numFmtId="164" fontId="11" fillId="0" borderId="0" xfId="445" applyNumberFormat="1" applyFont="1" applyFill="1" applyAlignment="1">
      <alignment horizontal="right" wrapText="1"/>
    </xf>
    <xf numFmtId="0" fontId="11" fillId="0" borderId="0" xfId="0" applyFont="1" applyFill="1"/>
    <xf numFmtId="0" fontId="12" fillId="0" borderId="0" xfId="0" applyFont="1" applyFill="1"/>
    <xf numFmtId="164" fontId="12" fillId="0" borderId="0" xfId="445" applyNumberFormat="1" applyFont="1"/>
    <xf numFmtId="164" fontId="12" fillId="0" borderId="0" xfId="445" applyNumberFormat="1" applyFont="1" applyFill="1"/>
    <xf numFmtId="164" fontId="12" fillId="2" borderId="0" xfId="445" applyNumberFormat="1" applyFont="1" applyFill="1"/>
    <xf numFmtId="164" fontId="5" fillId="2" borderId="1" xfId="445" applyNumberFormat="1" applyFont="1" applyFill="1" applyBorder="1" applyAlignment="1">
      <alignment vertical="center" wrapText="1"/>
    </xf>
    <xf numFmtId="164" fontId="0" fillId="2" borderId="0" xfId="445" applyNumberFormat="1" applyFont="1" applyFill="1" applyAlignment="1">
      <alignment wrapText="1"/>
    </xf>
    <xf numFmtId="164" fontId="0" fillId="2" borderId="0" xfId="445" applyNumberFormat="1" applyFont="1" applyFill="1"/>
    <xf numFmtId="164" fontId="7" fillId="2" borderId="0" xfId="445" applyNumberFormat="1" applyFont="1" applyFill="1" applyAlignment="1">
      <alignment wrapText="1"/>
    </xf>
    <xf numFmtId="164" fontId="8" fillId="2" borderId="0" xfId="445" quotePrefix="1" applyNumberFormat="1" applyFont="1" applyFill="1" applyAlignment="1">
      <alignment wrapText="1"/>
    </xf>
    <xf numFmtId="0" fontId="13" fillId="0" borderId="0" xfId="0" applyFont="1" applyFill="1"/>
    <xf numFmtId="43" fontId="13" fillId="0" borderId="0" xfId="445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164" fontId="0" fillId="7" borderId="0" xfId="445" applyNumberFormat="1" applyFont="1" applyFill="1" applyAlignment="1">
      <alignment horizontal="right" wrapText="1"/>
    </xf>
    <xf numFmtId="43" fontId="0" fillId="7" borderId="0" xfId="445" applyFont="1" applyFill="1" applyAlignment="1">
      <alignment wrapText="1"/>
    </xf>
    <xf numFmtId="164" fontId="0" fillId="7" borderId="0" xfId="445" applyNumberFormat="1" applyFont="1" applyFill="1"/>
    <xf numFmtId="0" fontId="0" fillId="7" borderId="0" xfId="0" applyFont="1" applyFill="1" applyAlignment="1">
      <alignment wrapText="1"/>
    </xf>
    <xf numFmtId="0" fontId="0" fillId="7" borderId="0" xfId="0" applyFont="1" applyFill="1" applyAlignment="1">
      <alignment horizontal="right" wrapText="1"/>
    </xf>
    <xf numFmtId="9" fontId="0" fillId="7" borderId="0" xfId="462" applyFont="1" applyFill="1"/>
    <xf numFmtId="0" fontId="0" fillId="7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horizontal="right" wrapText="1"/>
    </xf>
    <xf numFmtId="165" fontId="13" fillId="0" borderId="0" xfId="462" applyNumberFormat="1" applyFont="1" applyFill="1"/>
    <xf numFmtId="0" fontId="13" fillId="0" borderId="0" xfId="0" applyFont="1" applyFill="1" applyAlignment="1">
      <alignment horizontal="center"/>
    </xf>
    <xf numFmtId="164" fontId="11" fillId="8" borderId="0" xfId="445" applyNumberFormat="1" applyFont="1" applyFill="1" applyAlignment="1">
      <alignment horizontal="right" wrapText="1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wrapText="1"/>
    </xf>
    <xf numFmtId="164" fontId="0" fillId="9" borderId="0" xfId="445" applyNumberFormat="1" applyFont="1" applyFill="1" applyAlignment="1">
      <alignment horizontal="right" wrapText="1"/>
    </xf>
    <xf numFmtId="43" fontId="0" fillId="9" borderId="0" xfId="445" applyFont="1" applyFill="1" applyAlignment="1">
      <alignment wrapText="1"/>
    </xf>
    <xf numFmtId="164" fontId="0" fillId="9" borderId="0" xfId="445" applyNumberFormat="1" applyFont="1" applyFill="1" applyAlignment="1">
      <alignment wrapText="1"/>
    </xf>
    <xf numFmtId="0" fontId="0" fillId="9" borderId="0" xfId="0" applyFill="1"/>
    <xf numFmtId="0" fontId="0" fillId="9" borderId="0" xfId="0" applyFill="1" applyAlignment="1">
      <alignment horizontal="right" wrapText="1"/>
    </xf>
    <xf numFmtId="9" fontId="0" fillId="9" borderId="0" xfId="462" applyFont="1" applyFill="1"/>
    <xf numFmtId="0" fontId="6" fillId="7" borderId="0" xfId="0" applyFont="1" applyFill="1" applyAlignment="1">
      <alignment vertical="center" wrapText="1"/>
    </xf>
    <xf numFmtId="164" fontId="0" fillId="7" borderId="0" xfId="445" applyNumberFormat="1" applyFont="1" applyFill="1" applyAlignment="1">
      <alignment wrapText="1"/>
    </xf>
    <xf numFmtId="0" fontId="6" fillId="7" borderId="0" xfId="0" applyFont="1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165" fontId="13" fillId="8" borderId="0" xfId="462" applyNumberFormat="1" applyFont="1" applyFill="1"/>
    <xf numFmtId="10" fontId="13" fillId="0" borderId="0" xfId="462" applyNumberFormat="1" applyFont="1" applyFill="1"/>
    <xf numFmtId="10" fontId="13" fillId="8" borderId="0" xfId="462" applyNumberFormat="1" applyFont="1" applyFill="1"/>
    <xf numFmtId="164" fontId="14" fillId="0" borderId="0" xfId="445" applyNumberFormat="1" applyFont="1" applyFill="1"/>
    <xf numFmtId="0" fontId="14" fillId="0" borderId="0" xfId="0" applyFont="1" applyFill="1"/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0" fontId="12" fillId="10" borderId="0" xfId="0" applyFont="1" applyFill="1"/>
    <xf numFmtId="0" fontId="12" fillId="11" borderId="0" xfId="0" applyFont="1" applyFill="1"/>
    <xf numFmtId="0" fontId="12" fillId="3" borderId="0" xfId="0" applyFont="1" applyFill="1"/>
    <xf numFmtId="0" fontId="17" fillId="10" borderId="0" xfId="0" applyFont="1" applyFill="1"/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2"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 xr9:uid="{00000000-0011-0000-FFFF-FFFF00000000}">
      <tableStyleElement type="headerRow" dxfId="1"/>
      <tableStyleElement type="firstRowStripe" dxfId="0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tabSelected="1" topLeftCell="R1" zoomScale="110" zoomScaleNormal="110" workbookViewId="0">
      <pane ySplit="1" topLeftCell="A2" activePane="bottomLeft" state="frozen"/>
      <selection pane="bottomLeft" activeCell="AH7" sqref="AH7"/>
    </sheetView>
  </sheetViews>
  <sheetFormatPr baseColWidth="10" defaultColWidth="8.83203125" defaultRowHeight="16"/>
  <cols>
    <col min="1" max="1" width="13.1640625" style="4" customWidth="1"/>
    <col min="2" max="2" width="40" style="4" hidden="1" customWidth="1"/>
    <col min="3" max="3" width="58.6640625" style="4" customWidth="1"/>
    <col min="4" max="4" width="18.5" style="4" hidden="1" customWidth="1"/>
    <col min="5" max="5" width="37.5" style="17" customWidth="1"/>
    <col min="6" max="11" width="12.5" style="17" customWidth="1"/>
    <col min="12" max="12" width="22.6640625" style="31" customWidth="1"/>
    <col min="13" max="13" width="14.6640625" style="38" customWidth="1"/>
    <col min="14" max="14" width="11.5" style="84" customWidth="1"/>
    <col min="15" max="15" width="6.6640625" style="4" customWidth="1"/>
    <col min="16" max="16" width="12" style="4" hidden="1" customWidth="1"/>
    <col min="17" max="17" width="9.6640625" style="4" hidden="1" customWidth="1"/>
    <col min="18" max="18" width="17.5" style="5" customWidth="1"/>
    <col min="19" max="19" width="17.5" style="6" hidden="1" customWidth="1"/>
    <col min="20" max="20" width="11.83203125" style="5" hidden="1" customWidth="1"/>
    <col min="21" max="21" width="14.1640625" style="4" hidden="1" customWidth="1"/>
    <col min="22" max="22" width="18" style="17" hidden="1" customWidth="1"/>
    <col min="23" max="23" width="12" style="4" hidden="1" customWidth="1"/>
    <col min="24" max="25" width="8.83203125" style="4" hidden="1" customWidth="1"/>
    <col min="26" max="26" width="11.83203125" style="26" bestFit="1" customWidth="1"/>
    <col min="27" max="27" width="11.83203125" style="26" customWidth="1"/>
    <col min="28" max="28" width="16.6640625" style="87" customWidth="1"/>
    <col min="29" max="34" width="11.33203125" style="78" customWidth="1"/>
    <col min="35" max="37" width="10" style="78" customWidth="1"/>
    <col min="38" max="38" width="8.83203125" style="4"/>
    <col min="39" max="39" width="13.83203125" style="120" customWidth="1"/>
    <col min="40" max="40" width="13.6640625" style="120" customWidth="1"/>
    <col min="41" max="41" width="9.5" style="4" bestFit="1" customWidth="1"/>
    <col min="42" max="42" width="8.83203125" style="4"/>
    <col min="43" max="43" width="8.83203125" style="121"/>
    <col min="44" max="16384" width="8.83203125" style="4"/>
  </cols>
  <sheetData>
    <row r="1" spans="1:44" ht="32" customHeight="1" thickBot="1">
      <c r="A1" s="32" t="s">
        <v>428</v>
      </c>
      <c r="B1" s="32" t="s">
        <v>243</v>
      </c>
      <c r="C1" s="32" t="s">
        <v>244</v>
      </c>
      <c r="D1" s="32" t="s">
        <v>238</v>
      </c>
      <c r="E1" s="32" t="s">
        <v>737</v>
      </c>
      <c r="F1" s="32" t="s">
        <v>1136</v>
      </c>
      <c r="G1" s="32" t="s">
        <v>1137</v>
      </c>
      <c r="H1" s="32" t="s">
        <v>1138</v>
      </c>
      <c r="I1" s="32" t="s">
        <v>1139</v>
      </c>
      <c r="J1" s="32" t="s">
        <v>1140</v>
      </c>
      <c r="K1" s="32" t="s">
        <v>1141</v>
      </c>
      <c r="L1" s="33" t="s">
        <v>239</v>
      </c>
      <c r="M1" s="34" t="s">
        <v>240</v>
      </c>
      <c r="N1" s="82" t="s">
        <v>736</v>
      </c>
      <c r="O1" s="32" t="s">
        <v>241</v>
      </c>
      <c r="P1" s="32" t="s">
        <v>242</v>
      </c>
      <c r="Q1" s="74" t="s">
        <v>426</v>
      </c>
      <c r="R1" s="32" t="s">
        <v>427</v>
      </c>
      <c r="S1" s="75" t="s">
        <v>432</v>
      </c>
      <c r="T1" s="32" t="s">
        <v>429</v>
      </c>
      <c r="U1" s="32" t="s">
        <v>733</v>
      </c>
      <c r="V1" s="32" t="s">
        <v>769</v>
      </c>
      <c r="W1" s="32" t="s">
        <v>766</v>
      </c>
      <c r="X1" s="32" t="s">
        <v>767</v>
      </c>
      <c r="Y1" s="32" t="s">
        <v>768</v>
      </c>
      <c r="Z1" s="35" t="s">
        <v>820</v>
      </c>
      <c r="AA1" s="122"/>
      <c r="AB1" s="101" t="s">
        <v>1153</v>
      </c>
      <c r="AC1" s="127" t="s">
        <v>834</v>
      </c>
      <c r="AD1" s="124" t="s">
        <v>1154</v>
      </c>
      <c r="AE1" s="127" t="s">
        <v>836</v>
      </c>
      <c r="AF1" s="125"/>
      <c r="AG1" s="125" t="s">
        <v>1148</v>
      </c>
      <c r="AH1" s="125"/>
      <c r="AI1" s="126"/>
      <c r="AJ1" s="126" t="s">
        <v>1149</v>
      </c>
      <c r="AK1" s="126"/>
      <c r="AM1" s="120" t="s">
        <v>1152</v>
      </c>
      <c r="AN1" s="120" t="s">
        <v>1150</v>
      </c>
      <c r="AQ1" s="120" t="s">
        <v>1151</v>
      </c>
    </row>
    <row r="2" spans="1:44" ht="48">
      <c r="A2" s="18" t="s">
        <v>506</v>
      </c>
      <c r="B2" s="17" t="s">
        <v>412</v>
      </c>
      <c r="C2" s="17" t="s">
        <v>216</v>
      </c>
      <c r="D2" s="5" t="s">
        <v>1</v>
      </c>
      <c r="E2" s="17" t="s">
        <v>760</v>
      </c>
      <c r="F2" s="17" t="s">
        <v>760</v>
      </c>
      <c r="G2" s="17">
        <v>0.7</v>
      </c>
      <c r="L2" s="16">
        <v>7</v>
      </c>
      <c r="M2" s="29">
        <v>0.78435308805910964</v>
      </c>
      <c r="N2" s="83">
        <v>152806.38386025775</v>
      </c>
      <c r="O2" s="5">
        <v>5</v>
      </c>
      <c r="P2" s="5">
        <v>3</v>
      </c>
      <c r="Q2" s="4">
        <v>1</v>
      </c>
      <c r="R2" s="7" t="s">
        <v>461</v>
      </c>
      <c r="S2" s="8">
        <v>1</v>
      </c>
      <c r="T2" s="7" t="s">
        <v>433</v>
      </c>
      <c r="U2" s="4">
        <v>1</v>
      </c>
      <c r="V2" s="17" t="s">
        <v>816</v>
      </c>
      <c r="W2" s="4">
        <v>0.41</v>
      </c>
      <c r="X2" s="4">
        <v>0.28999999999999998</v>
      </c>
      <c r="Y2" s="4">
        <v>0.57999999999999996</v>
      </c>
      <c r="Z2" s="26">
        <f>0.210614324578582*(0.88)</f>
        <v>0.18534060562915217</v>
      </c>
      <c r="AB2" s="88">
        <f>Z2*AE2+Z2*AH2+Z2*AK2</f>
        <v>2867.5644347223329</v>
      </c>
      <c r="AC2" s="79">
        <f>BOD!B181</f>
        <v>51957.7302872</v>
      </c>
      <c r="AD2" s="79">
        <f>BOD!C181</f>
        <v>918.65042844200002</v>
      </c>
      <c r="AE2" s="79">
        <f>BOD!D181</f>
        <v>15471.862870999999</v>
      </c>
      <c r="AF2" s="80"/>
      <c r="AG2" s="80"/>
      <c r="AH2" s="80"/>
      <c r="AI2" s="80"/>
      <c r="AJ2" s="80"/>
      <c r="AK2" s="80"/>
      <c r="AM2" s="120">
        <f>AB2*M2</f>
        <v>2249.183019582937</v>
      </c>
      <c r="AN2" s="120">
        <f>AM2/L2</f>
        <v>321.31185994041959</v>
      </c>
      <c r="AO2" s="118">
        <f>AN2/(AC2+AF2+AI2)</f>
        <v>6.1841011561580101E-3</v>
      </c>
      <c r="AQ2" s="120">
        <f>N2/L2</f>
        <v>21829.483408608248</v>
      </c>
      <c r="AR2" s="100">
        <f>AQ2/(AC2+AF2+AI2)</f>
        <v>0.42013928029465963</v>
      </c>
    </row>
    <row r="3" spans="1:44" s="77" customFormat="1" ht="48">
      <c r="A3" s="115" t="s">
        <v>630</v>
      </c>
      <c r="B3" s="37" t="s">
        <v>39</v>
      </c>
      <c r="C3" s="37" t="s">
        <v>39</v>
      </c>
      <c r="D3" s="7" t="s">
        <v>31</v>
      </c>
      <c r="E3" s="115" t="s">
        <v>88</v>
      </c>
      <c r="F3" s="37" t="s">
        <v>88</v>
      </c>
      <c r="G3" s="115">
        <v>0.05</v>
      </c>
      <c r="H3" s="115" t="s">
        <v>1105</v>
      </c>
      <c r="I3" s="115">
        <v>0.5</v>
      </c>
      <c r="J3" s="115"/>
      <c r="K3" s="115"/>
      <c r="L3" s="102">
        <v>250</v>
      </c>
      <c r="M3" s="29">
        <v>254.60902660160465</v>
      </c>
      <c r="N3" s="83">
        <v>67757.34</v>
      </c>
      <c r="O3" s="7">
        <v>5</v>
      </c>
      <c r="P3" s="7">
        <v>1</v>
      </c>
      <c r="Q3" s="116">
        <v>1</v>
      </c>
      <c r="R3" s="7" t="s">
        <v>543</v>
      </c>
      <c r="S3" s="8" t="s">
        <v>544</v>
      </c>
      <c r="T3" s="7" t="s">
        <v>451</v>
      </c>
      <c r="U3" s="116">
        <v>1</v>
      </c>
      <c r="V3" s="37"/>
      <c r="W3" s="116"/>
      <c r="X3" s="116"/>
      <c r="Y3" s="116"/>
      <c r="Z3" s="26">
        <v>0.4</v>
      </c>
      <c r="AA3" s="26"/>
      <c r="AB3" s="88">
        <f>Z3*AE3+Z3*AH3+Z3*AK3</f>
        <v>73036.762555588008</v>
      </c>
      <c r="AC3" s="79">
        <v>8953.8136729599992</v>
      </c>
      <c r="AD3" s="79">
        <v>159.16499282199999</v>
      </c>
      <c r="AE3" s="79">
        <v>3591.7607969699998</v>
      </c>
      <c r="AF3" s="79">
        <v>180781.85775900001</v>
      </c>
      <c r="AG3" s="79">
        <v>2116.0688736900001</v>
      </c>
      <c r="AH3" s="79">
        <v>179000.14559199999</v>
      </c>
      <c r="AI3" s="80"/>
      <c r="AJ3" s="80"/>
      <c r="AK3" s="80"/>
      <c r="AM3" s="120">
        <f>(AB3*0.1*M3)+(AB3*0.9*M3*0.1)</f>
        <v>3533205.6138780504</v>
      </c>
      <c r="AN3" s="120">
        <f>AM3/L3</f>
        <v>14132.822455512201</v>
      </c>
      <c r="AO3" s="118">
        <f t="shared" ref="AO3:AO30" si="0">AN3/(AC3+AF3+AI3)</f>
        <v>7.4486902483069925E-2</v>
      </c>
      <c r="AQ3" s="120">
        <f>N3/L3</f>
        <v>271.02936</v>
      </c>
      <c r="AR3" s="100">
        <f t="shared" ref="AR3:AR30" si="1">AQ3/(AC3+AF3+AI3)</f>
        <v>1.4284575902596798E-3</v>
      </c>
    </row>
    <row r="4" spans="1:44">
      <c r="A4" s="4" t="s">
        <v>446</v>
      </c>
      <c r="B4" s="5" t="s">
        <v>8</v>
      </c>
      <c r="C4" s="5" t="s">
        <v>8</v>
      </c>
      <c r="D4" s="5" t="s">
        <v>1</v>
      </c>
      <c r="E4" s="4" t="s">
        <v>827</v>
      </c>
      <c r="F4" s="17" t="s">
        <v>827</v>
      </c>
      <c r="G4" s="4">
        <v>0.3</v>
      </c>
      <c r="H4" s="4"/>
      <c r="I4" s="4"/>
      <c r="J4" s="4"/>
      <c r="K4" s="4"/>
      <c r="L4" s="5">
        <v>11</v>
      </c>
      <c r="M4" s="29">
        <v>1.2581054540850005</v>
      </c>
      <c r="N4" s="84">
        <v>229885.6912</v>
      </c>
      <c r="O4" s="5">
        <v>6</v>
      </c>
      <c r="P4" s="5">
        <v>1</v>
      </c>
      <c r="Q4" s="4">
        <v>1</v>
      </c>
      <c r="R4" s="7" t="s">
        <v>447</v>
      </c>
      <c r="S4" s="8">
        <v>18</v>
      </c>
      <c r="T4" s="7" t="s">
        <v>433</v>
      </c>
      <c r="U4" s="7">
        <v>1</v>
      </c>
      <c r="V4" s="5" t="s">
        <v>770</v>
      </c>
      <c r="W4" s="4">
        <v>0.31200000000000006</v>
      </c>
      <c r="X4" s="4" t="s">
        <v>772</v>
      </c>
      <c r="Y4" s="4" t="s">
        <v>772</v>
      </c>
      <c r="Z4" s="26">
        <f>0.1*(0.88)</f>
        <v>8.8000000000000009E-2</v>
      </c>
      <c r="AB4" s="88">
        <f>Z4*AE4+Z4*AH4+Z4*AK4</f>
        <v>435.16836405152003</v>
      </c>
      <c r="AC4" s="79">
        <v>18952.7691959</v>
      </c>
      <c r="AD4" s="79">
        <v>369.317403528</v>
      </c>
      <c r="AE4" s="79">
        <v>4945.0950460399999</v>
      </c>
      <c r="AF4" s="80"/>
      <c r="AG4" s="80"/>
      <c r="AH4" s="80"/>
      <c r="AI4" s="80"/>
      <c r="AJ4" s="80"/>
      <c r="AK4" s="80"/>
      <c r="AM4" s="120">
        <f>AB4*M4</f>
        <v>547.48769225846445</v>
      </c>
      <c r="AN4" s="120">
        <f>AM4/L4</f>
        <v>49.771608387133135</v>
      </c>
      <c r="AO4" s="118">
        <f t="shared" si="0"/>
        <v>2.626086345097269E-3</v>
      </c>
      <c r="AQ4" s="120">
        <f>N4/L4</f>
        <v>20898.699199999999</v>
      </c>
      <c r="AR4" s="117">
        <f t="shared" si="1"/>
        <v>1.1026725954390326</v>
      </c>
    </row>
    <row r="5" spans="1:44" ht="32">
      <c r="A5" s="18" t="s">
        <v>638</v>
      </c>
      <c r="B5" s="17" t="s">
        <v>311</v>
      </c>
      <c r="C5" s="17" t="s">
        <v>153</v>
      </c>
      <c r="D5" s="5" t="s">
        <v>0</v>
      </c>
      <c r="E5" s="17" t="s">
        <v>30</v>
      </c>
      <c r="F5" s="17" t="s">
        <v>30</v>
      </c>
      <c r="G5" s="17">
        <v>0.8</v>
      </c>
      <c r="L5" s="16">
        <v>13</v>
      </c>
      <c r="M5" s="29">
        <v>2.0230000000000001E-2</v>
      </c>
      <c r="N5" s="84">
        <v>49048.859999999993</v>
      </c>
      <c r="O5" s="5">
        <v>2</v>
      </c>
      <c r="P5" s="5">
        <v>1</v>
      </c>
      <c r="R5" s="5" t="s">
        <v>477</v>
      </c>
      <c r="S5" s="6">
        <v>8</v>
      </c>
      <c r="T5" s="5" t="s">
        <v>443</v>
      </c>
      <c r="U5" s="4">
        <v>1</v>
      </c>
      <c r="V5" s="17" t="s">
        <v>775</v>
      </c>
      <c r="W5" s="4">
        <v>0.12</v>
      </c>
      <c r="X5" s="4">
        <v>0.02</v>
      </c>
      <c r="Y5" s="4">
        <v>0.88</v>
      </c>
      <c r="Z5" s="26">
        <v>0.4</v>
      </c>
      <c r="AB5" s="88">
        <f>Z5*AE5+Z5*AH5+Z5*AK5</f>
        <v>9550.9253053600005</v>
      </c>
      <c r="AC5" s="79">
        <v>132939.57167599999</v>
      </c>
      <c r="AD5" s="79">
        <v>2146.1401597399999</v>
      </c>
      <c r="AE5" s="79">
        <v>23877.313263399999</v>
      </c>
      <c r="AF5" s="80"/>
      <c r="AG5" s="80"/>
      <c r="AH5" s="80"/>
      <c r="AI5" s="80"/>
      <c r="AJ5" s="80"/>
      <c r="AK5" s="80"/>
      <c r="AM5" s="120">
        <f>AB5*M5</f>
        <v>193.21521892743283</v>
      </c>
      <c r="AN5" s="120">
        <f>AM5/L5</f>
        <v>14.862709148264063</v>
      </c>
      <c r="AO5" s="118">
        <f t="shared" si="0"/>
        <v>1.1180048920638485E-4</v>
      </c>
      <c r="AQ5" s="120">
        <f>N5/L5</f>
        <v>3772.9892307692303</v>
      </c>
      <c r="AR5" s="100">
        <f t="shared" si="1"/>
        <v>2.8381235046888453E-2</v>
      </c>
    </row>
    <row r="6" spans="1:44" ht="48">
      <c r="A6" s="18" t="s">
        <v>476</v>
      </c>
      <c r="B6" s="17" t="s">
        <v>263</v>
      </c>
      <c r="C6" s="17" t="s">
        <v>151</v>
      </c>
      <c r="D6" s="5" t="s">
        <v>0</v>
      </c>
      <c r="E6" s="17" t="s">
        <v>30</v>
      </c>
      <c r="F6" s="17" t="s">
        <v>30</v>
      </c>
      <c r="G6" s="17">
        <v>0.8</v>
      </c>
      <c r="L6" s="16">
        <v>13</v>
      </c>
      <c r="M6" s="29">
        <v>1.7790273640275014</v>
      </c>
      <c r="N6" s="84">
        <v>117098.51999999999</v>
      </c>
      <c r="O6" s="5">
        <v>1</v>
      </c>
      <c r="P6" s="5">
        <v>1</v>
      </c>
      <c r="R6" s="5" t="s">
        <v>477</v>
      </c>
      <c r="S6" s="6">
        <v>8</v>
      </c>
      <c r="T6" s="5" t="s">
        <v>443</v>
      </c>
      <c r="U6" s="4">
        <v>1</v>
      </c>
      <c r="Z6" s="26">
        <v>0.4</v>
      </c>
      <c r="AB6" s="88">
        <f>Z6*AE6+Z6*AH6+Z6*AK6</f>
        <v>9550.9253053600005</v>
      </c>
      <c r="AC6" s="79">
        <v>132939.57167599999</v>
      </c>
      <c r="AD6" s="79">
        <v>2146.1401597399999</v>
      </c>
      <c r="AE6" s="79">
        <v>23877.313263399999</v>
      </c>
      <c r="AF6" s="80"/>
      <c r="AG6" s="80"/>
      <c r="AH6" s="80"/>
      <c r="AI6" s="80"/>
      <c r="AJ6" s="80"/>
      <c r="AK6" s="80"/>
      <c r="AM6" s="120">
        <f>AB6*M6</f>
        <v>16991.35747001816</v>
      </c>
      <c r="AN6" s="120">
        <f>AM6/L6</f>
        <v>1307.0274976937046</v>
      </c>
      <c r="AO6" s="118">
        <f t="shared" si="0"/>
        <v>9.831741453772613E-3</v>
      </c>
      <c r="AQ6" s="120">
        <f>N6/L6</f>
        <v>9007.57846153846</v>
      </c>
      <c r="AR6" s="100">
        <f t="shared" si="1"/>
        <v>6.775693909629639E-2</v>
      </c>
    </row>
    <row r="7" spans="1:44" ht="80">
      <c r="A7" s="4" t="s">
        <v>612</v>
      </c>
      <c r="B7" s="5" t="s">
        <v>100</v>
      </c>
      <c r="C7" s="5" t="s">
        <v>100</v>
      </c>
      <c r="D7" s="5" t="s">
        <v>1</v>
      </c>
      <c r="E7" s="5" t="s">
        <v>829</v>
      </c>
      <c r="F7" s="17" t="s">
        <v>829</v>
      </c>
      <c r="G7" s="5">
        <v>0.2</v>
      </c>
      <c r="H7" s="5"/>
      <c r="I7" s="5"/>
      <c r="J7" s="5"/>
      <c r="K7" s="5"/>
      <c r="L7" s="5">
        <v>13</v>
      </c>
      <c r="M7" s="29">
        <v>1.2581054540850005</v>
      </c>
      <c r="N7" s="84">
        <v>203762.31719999999</v>
      </c>
      <c r="O7" s="5">
        <v>5</v>
      </c>
      <c r="P7" s="5">
        <v>3</v>
      </c>
      <c r="Q7" s="4">
        <v>1</v>
      </c>
      <c r="R7" s="5" t="s">
        <v>431</v>
      </c>
      <c r="S7" s="6">
        <v>11</v>
      </c>
      <c r="T7" s="5" t="s">
        <v>433</v>
      </c>
      <c r="U7" s="5">
        <v>1</v>
      </c>
      <c r="V7" s="5" t="s">
        <v>781</v>
      </c>
      <c r="W7" s="4">
        <v>0.66</v>
      </c>
      <c r="X7" s="4">
        <v>0.48</v>
      </c>
      <c r="Y7" s="4">
        <v>0.89</v>
      </c>
      <c r="Z7" s="26">
        <f>0.1*(0.88)</f>
        <v>8.8000000000000009E-2</v>
      </c>
      <c r="AB7" s="88">
        <f>Z7*AE7+Z7*AH7+Z7*AK7</f>
        <v>28866.578787112005</v>
      </c>
      <c r="AC7" s="79">
        <v>79773.704416199995</v>
      </c>
      <c r="AD7" s="79">
        <v>2082.0168636200001</v>
      </c>
      <c r="AE7" s="79">
        <v>328029.30439900002</v>
      </c>
      <c r="AF7" s="80"/>
      <c r="AG7" s="80"/>
      <c r="AH7" s="80"/>
      <c r="AI7" s="80"/>
      <c r="AJ7" s="80"/>
      <c r="AK7" s="80"/>
      <c r="AM7" s="120">
        <f>AB7*M7</f>
        <v>36317.200212839991</v>
      </c>
      <c r="AN7" s="120">
        <f>AM7/L7</f>
        <v>2793.6307856030762</v>
      </c>
      <c r="AO7" s="118">
        <f t="shared" si="0"/>
        <v>3.5019444139487162E-2</v>
      </c>
      <c r="AQ7" s="120">
        <f>N7/L7</f>
        <v>15674.024399999998</v>
      </c>
      <c r="AR7" s="100">
        <f t="shared" si="1"/>
        <v>0.19648109003719533</v>
      </c>
    </row>
    <row r="8" spans="1:44" ht="80">
      <c r="A8" s="18" t="s">
        <v>587</v>
      </c>
      <c r="B8" s="17" t="s">
        <v>312</v>
      </c>
      <c r="C8" s="17" t="s">
        <v>181</v>
      </c>
      <c r="D8" s="5" t="s">
        <v>0</v>
      </c>
      <c r="E8" s="17" t="s">
        <v>744</v>
      </c>
      <c r="F8" s="17" t="s">
        <v>744</v>
      </c>
      <c r="G8" s="5">
        <v>0.1</v>
      </c>
      <c r="H8" s="5"/>
      <c r="I8" s="5"/>
      <c r="J8" s="5"/>
      <c r="K8" s="5"/>
      <c r="L8" s="16">
        <v>14</v>
      </c>
      <c r="M8" s="29">
        <v>48.128585671910834</v>
      </c>
      <c r="N8" s="85">
        <v>1104032.5267066986</v>
      </c>
      <c r="O8" s="1">
        <v>4</v>
      </c>
      <c r="P8" s="1">
        <v>3</v>
      </c>
      <c r="Q8">
        <v>1</v>
      </c>
      <c r="R8" s="5" t="s">
        <v>461</v>
      </c>
      <c r="S8" s="6">
        <v>1</v>
      </c>
      <c r="T8" s="5" t="s">
        <v>433</v>
      </c>
      <c r="U8" s="4">
        <v>1</v>
      </c>
      <c r="V8" s="5" t="s">
        <v>770</v>
      </c>
      <c r="W8" s="4">
        <v>0.8</v>
      </c>
      <c r="X8" s="4">
        <v>0.5</v>
      </c>
      <c r="Y8" s="4">
        <v>0.9</v>
      </c>
      <c r="Z8" s="26">
        <f>0.068635045612025*(0.88)</f>
        <v>6.0398840138582002E-2</v>
      </c>
      <c r="AB8" s="88">
        <f t="shared" ref="AB8" si="2">Z8*AE8+Z8*AH8+Z8*AK8</f>
        <v>408.73134888846334</v>
      </c>
      <c r="AC8" s="79">
        <v>17462.001924200002</v>
      </c>
      <c r="AD8" s="79">
        <v>280.77375965800002</v>
      </c>
      <c r="AE8" s="79">
        <v>6767.2052633900003</v>
      </c>
      <c r="AF8" s="80"/>
      <c r="AG8" s="80"/>
      <c r="AH8" s="80"/>
      <c r="AI8" s="80"/>
      <c r="AJ8" s="80"/>
      <c r="AK8" s="80"/>
      <c r="AM8" s="120">
        <f t="shared" ref="AM8" si="3">AB8*M8</f>
        <v>19671.661741774085</v>
      </c>
      <c r="AN8" s="120">
        <f t="shared" ref="AN8" si="4">AM8/L8</f>
        <v>1405.118695841006</v>
      </c>
      <c r="AO8" s="118">
        <f t="shared" ref="AO8" si="5">AN8/(AC8+AF8+AI8)</f>
        <v>8.0467216871262584E-2</v>
      </c>
      <c r="AQ8" s="120">
        <f t="shared" ref="AQ8" si="6">N8/L8</f>
        <v>78859.466193335611</v>
      </c>
      <c r="AR8" s="117">
        <f>AQ8/(AC8+AF8+AI8)</f>
        <v>4.5160610184131826</v>
      </c>
    </row>
    <row r="9" spans="1:44" ht="64">
      <c r="A9" s="18" t="s">
        <v>494</v>
      </c>
      <c r="B9" s="17" t="s">
        <v>372</v>
      </c>
      <c r="C9" s="17" t="s">
        <v>135</v>
      </c>
      <c r="D9" s="5" t="s">
        <v>31</v>
      </c>
      <c r="E9" s="17" t="s">
        <v>85</v>
      </c>
      <c r="F9" s="17" t="s">
        <v>85</v>
      </c>
      <c r="G9" s="17">
        <v>0.2</v>
      </c>
      <c r="L9" s="16">
        <v>20</v>
      </c>
      <c r="M9" s="29">
        <v>1.2581054540850005</v>
      </c>
      <c r="N9" s="84">
        <v>420461.77410822158</v>
      </c>
      <c r="O9" s="5">
        <v>3</v>
      </c>
      <c r="P9" s="5">
        <v>1</v>
      </c>
      <c r="Q9" s="4">
        <v>1</v>
      </c>
      <c r="R9" s="5" t="s">
        <v>431</v>
      </c>
      <c r="S9" s="6">
        <v>11</v>
      </c>
      <c r="T9" s="5" t="s">
        <v>451</v>
      </c>
      <c r="U9" s="4">
        <v>1</v>
      </c>
      <c r="V9" s="17" t="s">
        <v>797</v>
      </c>
      <c r="W9" s="4">
        <v>3.7000000000000002E-3</v>
      </c>
      <c r="X9" s="4">
        <v>2.8E-3</v>
      </c>
      <c r="Y9" s="4">
        <v>4.4999999999999997E-3</v>
      </c>
      <c r="Z9" s="26">
        <f>0.1*(0.88)</f>
        <v>8.8000000000000009E-2</v>
      </c>
      <c r="AB9" s="88">
        <f>Z9*AE9+Z9*AH9+Z9*AK9</f>
        <v>131699.24170920003</v>
      </c>
      <c r="AC9" s="79">
        <v>424943.56342999998</v>
      </c>
      <c r="AD9" s="79">
        <v>11067.909845</v>
      </c>
      <c r="AE9" s="79">
        <v>1496582.2921500001</v>
      </c>
      <c r="AF9" s="80"/>
      <c r="AG9" s="80"/>
      <c r="AH9" s="80"/>
      <c r="AI9" s="80"/>
      <c r="AJ9" s="80"/>
      <c r="AK9" s="80"/>
      <c r="AM9" s="120">
        <f>AB9*M9</f>
        <v>165691.53429320332</v>
      </c>
      <c r="AN9" s="120">
        <f>AM9/L9</f>
        <v>8284.5767146601665</v>
      </c>
      <c r="AO9" s="118">
        <f t="shared" si="0"/>
        <v>1.949571055457313E-2</v>
      </c>
      <c r="AQ9" s="120">
        <f>N9/L9</f>
        <v>21023.088705411079</v>
      </c>
      <c r="AR9" s="100">
        <f t="shared" si="1"/>
        <v>4.9472660641615214E-2</v>
      </c>
    </row>
    <row r="10" spans="1:44" ht="48">
      <c r="A10" s="18" t="s">
        <v>502</v>
      </c>
      <c r="B10" s="17" t="s">
        <v>2</v>
      </c>
      <c r="C10" s="17" t="s">
        <v>2</v>
      </c>
      <c r="D10" s="5" t="s">
        <v>31</v>
      </c>
      <c r="E10" s="17" t="s">
        <v>758</v>
      </c>
      <c r="F10" s="17" t="s">
        <v>758</v>
      </c>
      <c r="G10" s="17">
        <v>0.4</v>
      </c>
      <c r="L10" s="16">
        <v>22</v>
      </c>
      <c r="M10" s="29">
        <v>1.6708715227994324</v>
      </c>
      <c r="N10" s="83">
        <v>924371.32491951319</v>
      </c>
      <c r="O10" s="5">
        <v>3</v>
      </c>
      <c r="P10" s="5">
        <v>1</v>
      </c>
      <c r="Q10" s="4">
        <v>1</v>
      </c>
      <c r="R10" s="7" t="s">
        <v>447</v>
      </c>
      <c r="S10" s="8">
        <v>18</v>
      </c>
      <c r="T10" s="7" t="s">
        <v>433</v>
      </c>
      <c r="U10" s="4">
        <v>1</v>
      </c>
      <c r="Z10" s="26">
        <f>0.306720966623047*(0.88)</f>
        <v>0.26991445062828134</v>
      </c>
      <c r="AB10" s="88">
        <f>Z10*AE10+Z10*AH10+Z10*AK10</f>
        <v>2372387.9888851708</v>
      </c>
      <c r="AC10" s="79">
        <v>245475.11078399999</v>
      </c>
      <c r="AD10" s="79">
        <v>155.184737216</v>
      </c>
      <c r="AE10" s="79">
        <v>8789407.1005199999</v>
      </c>
      <c r="AF10" s="80"/>
      <c r="AG10" s="80"/>
      <c r="AH10" s="80"/>
      <c r="AI10" s="80"/>
      <c r="AJ10" s="80"/>
      <c r="AK10" s="80"/>
      <c r="AM10" s="120">
        <f>AB10*M10</f>
        <v>3963955.5316596483</v>
      </c>
      <c r="AN10" s="120">
        <f>AM10/L10</f>
        <v>180179.79689362037</v>
      </c>
      <c r="AO10" s="118">
        <f t="shared" si="0"/>
        <v>0.73400434088067412</v>
      </c>
      <c r="AQ10" s="120">
        <f>N10/L10</f>
        <v>42016.878405432421</v>
      </c>
      <c r="AR10" s="100">
        <f t="shared" si="1"/>
        <v>0.17116553393636791</v>
      </c>
    </row>
    <row r="11" spans="1:44" ht="48">
      <c r="A11" s="4" t="s">
        <v>706</v>
      </c>
      <c r="B11" s="5" t="s">
        <v>383</v>
      </c>
      <c r="C11" s="5" t="s">
        <v>54</v>
      </c>
      <c r="D11" s="5" t="s">
        <v>1</v>
      </c>
      <c r="E11" s="4" t="s">
        <v>824</v>
      </c>
      <c r="F11" s="17" t="s">
        <v>824</v>
      </c>
      <c r="G11" s="17">
        <v>0.85</v>
      </c>
      <c r="H11" s="4"/>
      <c r="I11" s="4"/>
      <c r="J11" s="4"/>
      <c r="K11" s="4"/>
      <c r="L11" s="5">
        <v>23</v>
      </c>
      <c r="M11" s="29">
        <v>1.1496900605005875</v>
      </c>
      <c r="N11" s="84">
        <v>120913.51168003447</v>
      </c>
      <c r="O11" s="5">
        <v>4</v>
      </c>
      <c r="P11" s="5">
        <v>1</v>
      </c>
      <c r="Q11" s="4">
        <v>1</v>
      </c>
      <c r="R11" s="5" t="s">
        <v>513</v>
      </c>
      <c r="S11" s="6">
        <v>14</v>
      </c>
      <c r="T11" s="5" t="s">
        <v>451</v>
      </c>
      <c r="U11" s="5">
        <v>1</v>
      </c>
      <c r="V11" s="5" t="s">
        <v>782</v>
      </c>
      <c r="W11" s="4">
        <v>4.8</v>
      </c>
      <c r="X11" s="4">
        <v>0.7</v>
      </c>
      <c r="Y11" s="4">
        <v>8.9</v>
      </c>
      <c r="Z11" s="26">
        <f>0.924908816360775*(0.88)</f>
        <v>0.8139197583974821</v>
      </c>
      <c r="AB11" s="88">
        <f>Z11*AE11+Z11*AH11+Z11*AK11</f>
        <v>53249.698005129205</v>
      </c>
      <c r="AC11" s="79">
        <v>17486.043692700001</v>
      </c>
      <c r="AD11" s="79">
        <v>55.638247765700001</v>
      </c>
      <c r="AE11" s="79">
        <v>65423.7686894</v>
      </c>
      <c r="AF11" s="80"/>
      <c r="AG11" s="80"/>
      <c r="AH11" s="80"/>
      <c r="AI11" s="80"/>
      <c r="AJ11" s="80"/>
      <c r="AK11" s="80"/>
      <c r="AM11" s="120">
        <f>AB11*M11</f>
        <v>61220.64852115501</v>
      </c>
      <c r="AN11" s="120">
        <f>AM11/L11</f>
        <v>2661.7673270067394</v>
      </c>
      <c r="AO11" s="118">
        <f t="shared" si="0"/>
        <v>0.15222238796749449</v>
      </c>
      <c r="AQ11" s="120">
        <f>N11/L11</f>
        <v>5257.1092034797593</v>
      </c>
      <c r="AR11" s="100">
        <f t="shared" si="1"/>
        <v>0.300646006373327</v>
      </c>
    </row>
    <row r="12" spans="1:44" ht="64">
      <c r="A12" s="18" t="s">
        <v>701</v>
      </c>
      <c r="B12" s="17" t="s">
        <v>394</v>
      </c>
      <c r="C12" s="17" t="s">
        <v>208</v>
      </c>
      <c r="D12" s="5" t="s">
        <v>31</v>
      </c>
      <c r="E12" s="17" t="s">
        <v>88</v>
      </c>
      <c r="F12" s="17" t="s">
        <v>88</v>
      </c>
      <c r="G12" s="17">
        <v>0.05</v>
      </c>
      <c r="H12" s="17" t="s">
        <v>1099</v>
      </c>
      <c r="I12" s="17">
        <v>0.03</v>
      </c>
      <c r="J12" s="17" t="s">
        <v>1142</v>
      </c>
      <c r="K12" s="17">
        <v>0.02</v>
      </c>
      <c r="L12" s="16">
        <v>28</v>
      </c>
      <c r="M12" s="29">
        <v>4.819458994482523</v>
      </c>
      <c r="N12" s="83">
        <v>214178.10662782626</v>
      </c>
      <c r="O12" s="5">
        <v>3</v>
      </c>
      <c r="P12" s="5">
        <v>1</v>
      </c>
      <c r="Q12" s="4">
        <v>1</v>
      </c>
      <c r="R12" s="5" t="s">
        <v>484</v>
      </c>
      <c r="S12" s="6">
        <v>6</v>
      </c>
      <c r="T12" s="5" t="s">
        <v>451</v>
      </c>
      <c r="U12" s="4">
        <v>1</v>
      </c>
      <c r="Z12" s="26">
        <f>0.104473979264733*(0.88)</f>
        <v>9.1937101752965031E-2</v>
      </c>
      <c r="AB12" s="88">
        <f>Z12*AE12+Z12*AH12+Z12*AK12</f>
        <v>336870.27288303821</v>
      </c>
      <c r="AC12" s="79">
        <v>8953.8136729599992</v>
      </c>
      <c r="AD12" s="79">
        <v>159.16499282199999</v>
      </c>
      <c r="AE12" s="79">
        <v>3591.7607969699998</v>
      </c>
      <c r="AF12" s="79">
        <v>199857.737207</v>
      </c>
      <c r="AG12" s="79">
        <v>2136.9067681400002</v>
      </c>
      <c r="AH12" s="79">
        <v>3622521.5464900001</v>
      </c>
      <c r="AI12" s="80">
        <f>BOD!B4+BOD!B5</f>
        <v>4504.7834101899998</v>
      </c>
      <c r="AJ12" s="80">
        <f>BOD!C4+BOD!C5</f>
        <v>64.5058783379</v>
      </c>
      <c r="AK12" s="80">
        <f>BOD!D4+BOD!D5</f>
        <v>38025.179351520004</v>
      </c>
      <c r="AM12" s="120">
        <f>AB12*M12</f>
        <v>1623532.4666199405</v>
      </c>
      <c r="AN12" s="120">
        <f>AM12/L12</f>
        <v>57983.302379283588</v>
      </c>
      <c r="AO12" s="118">
        <f t="shared" si="0"/>
        <v>0.27181838921165541</v>
      </c>
      <c r="AQ12" s="120">
        <f>N12/L12</f>
        <v>7649.2180938509382</v>
      </c>
      <c r="AR12" s="100">
        <f t="shared" si="1"/>
        <v>3.585856713366626E-2</v>
      </c>
    </row>
    <row r="13" spans="1:44" ht="48">
      <c r="A13" s="18" t="s">
        <v>498</v>
      </c>
      <c r="B13" s="17" t="s">
        <v>307</v>
      </c>
      <c r="C13" s="17" t="s">
        <v>148</v>
      </c>
      <c r="D13" s="5" t="s">
        <v>0</v>
      </c>
      <c r="E13" s="17" t="s">
        <v>30</v>
      </c>
      <c r="F13" s="17" t="s">
        <v>30</v>
      </c>
      <c r="G13" s="17">
        <v>0.4</v>
      </c>
      <c r="L13" s="16">
        <v>31</v>
      </c>
      <c r="M13" s="29">
        <v>1.344397990175465</v>
      </c>
      <c r="N13" s="84">
        <v>117322.23632844751</v>
      </c>
      <c r="O13" s="5">
        <v>3</v>
      </c>
      <c r="P13" s="5">
        <v>1</v>
      </c>
      <c r="Q13" s="4">
        <v>1</v>
      </c>
      <c r="R13" s="5" t="s">
        <v>477</v>
      </c>
      <c r="S13" s="6">
        <v>8</v>
      </c>
      <c r="T13" s="5" t="s">
        <v>433</v>
      </c>
      <c r="U13" s="4">
        <v>1</v>
      </c>
      <c r="V13" s="5" t="s">
        <v>770</v>
      </c>
      <c r="W13" s="4">
        <v>0.57999999999999996</v>
      </c>
      <c r="X13" s="4">
        <v>0.44</v>
      </c>
      <c r="Y13" s="4">
        <v>0.77</v>
      </c>
      <c r="Z13" s="26">
        <f>0.291536181212621*(0.88)</f>
        <v>0.25655183946710647</v>
      </c>
      <c r="AB13" s="88">
        <f>Z13*AE13+Z13*AH13+Z13*AK13</f>
        <v>6125.7686392576088</v>
      </c>
      <c r="AC13" s="79">
        <v>132939.57167599999</v>
      </c>
      <c r="AD13" s="79">
        <v>2146.1401597399999</v>
      </c>
      <c r="AE13" s="79">
        <v>23877.313263399999</v>
      </c>
      <c r="AF13" s="80"/>
      <c r="AG13" s="80"/>
      <c r="AH13" s="80"/>
      <c r="AI13" s="80"/>
      <c r="AJ13" s="80"/>
      <c r="AK13" s="80"/>
      <c r="AM13" s="120">
        <f>AB13*M13</f>
        <v>8235.4710468978228</v>
      </c>
      <c r="AN13" s="120">
        <f>AM13/L13</f>
        <v>265.66035635154265</v>
      </c>
      <c r="AO13" s="118">
        <f t="shared" si="0"/>
        <v>1.99835423720944E-3</v>
      </c>
      <c r="AQ13" s="120">
        <f>N13/L13</f>
        <v>3784.5882686595974</v>
      </c>
      <c r="AR13" s="100">
        <f t="shared" si="1"/>
        <v>2.8468485500189416E-2</v>
      </c>
    </row>
    <row r="14" spans="1:44" ht="32">
      <c r="A14" s="18" t="s">
        <v>722</v>
      </c>
      <c r="B14" s="17" t="s">
        <v>272</v>
      </c>
      <c r="C14" s="17" t="s">
        <v>117</v>
      </c>
      <c r="D14" s="5" t="s">
        <v>31</v>
      </c>
      <c r="E14" s="17" t="s">
        <v>748</v>
      </c>
      <c r="F14" s="17" t="s">
        <v>748</v>
      </c>
      <c r="G14" s="17">
        <v>0.4</v>
      </c>
      <c r="L14" s="102">
        <f>L17</f>
        <v>103</v>
      </c>
      <c r="M14" s="29">
        <v>19.359239841281244</v>
      </c>
      <c r="N14" s="83">
        <v>1044797.0683604684</v>
      </c>
      <c r="O14" s="5">
        <v>3</v>
      </c>
      <c r="P14" s="5">
        <v>1</v>
      </c>
      <c r="Q14" s="4">
        <v>1</v>
      </c>
      <c r="R14" s="5" t="s">
        <v>461</v>
      </c>
      <c r="S14" s="6">
        <v>1</v>
      </c>
      <c r="T14" s="5" t="s">
        <v>433</v>
      </c>
      <c r="U14" s="4">
        <v>1</v>
      </c>
      <c r="V14" s="36" t="s">
        <v>770</v>
      </c>
      <c r="W14" s="4">
        <v>0.57999999999999996</v>
      </c>
      <c r="X14" s="4">
        <v>0.41</v>
      </c>
      <c r="Y14" s="4">
        <v>0.82</v>
      </c>
      <c r="Z14" s="26">
        <f>0.253110379496502*(0.88)</f>
        <v>0.22273713395692177</v>
      </c>
      <c r="AB14" s="88">
        <f>Z14*AE14+Z14*AH14+Z14*AK14</f>
        <v>6023.7602618329875</v>
      </c>
      <c r="AC14" s="79">
        <v>7346.4592129700004</v>
      </c>
      <c r="AD14" s="79">
        <v>59.509040343700001</v>
      </c>
      <c r="AE14" s="79">
        <v>27044.256854800002</v>
      </c>
      <c r="AF14" s="80"/>
      <c r="AG14" s="80"/>
      <c r="AH14" s="80"/>
      <c r="AI14" s="80"/>
      <c r="AJ14" s="80"/>
      <c r="AK14" s="80"/>
      <c r="AM14" s="120">
        <f>AB14*M14</f>
        <v>116615.41965520391</v>
      </c>
      <c r="AN14" s="120">
        <f>AM14/L14</f>
        <v>1132.1885403417855</v>
      </c>
      <c r="AO14" s="118">
        <f t="shared" si="0"/>
        <v>0.15411349978543859</v>
      </c>
      <c r="AQ14" s="120">
        <f>N14/L14</f>
        <v>10143.660857868625</v>
      </c>
      <c r="AR14" s="117">
        <f>AQ14/(AC14+AF14+AI14)</f>
        <v>1.3807550772160051</v>
      </c>
    </row>
    <row r="15" spans="1:44" ht="64">
      <c r="A15" s="18" t="s">
        <v>592</v>
      </c>
      <c r="B15" s="17" t="s">
        <v>395</v>
      </c>
      <c r="C15" s="17" t="s">
        <v>209</v>
      </c>
      <c r="D15" s="5" t="s">
        <v>31</v>
      </c>
      <c r="E15" s="17" t="s">
        <v>1099</v>
      </c>
      <c r="F15" s="17" t="s">
        <v>1099</v>
      </c>
      <c r="G15" s="17">
        <v>0.2</v>
      </c>
      <c r="H15" s="17" t="s">
        <v>1143</v>
      </c>
      <c r="I15" s="17">
        <v>0.6</v>
      </c>
      <c r="L15" s="102">
        <f>L24</f>
        <v>576</v>
      </c>
      <c r="M15" s="29">
        <v>7.4900031183195228</v>
      </c>
      <c r="N15" s="83">
        <v>4038627.9779299479</v>
      </c>
      <c r="O15" s="5">
        <v>3</v>
      </c>
      <c r="P15" s="5">
        <v>1</v>
      </c>
      <c r="Q15" s="4">
        <v>1</v>
      </c>
      <c r="R15" s="5" t="s">
        <v>469</v>
      </c>
      <c r="S15" s="6" t="s">
        <v>470</v>
      </c>
      <c r="T15" s="5" t="s">
        <v>433</v>
      </c>
      <c r="U15" s="4">
        <v>1</v>
      </c>
      <c r="V15" s="17" t="s">
        <v>791</v>
      </c>
      <c r="W15" s="4">
        <v>0.5</v>
      </c>
      <c r="X15" s="4">
        <v>0.3</v>
      </c>
      <c r="Y15" s="4">
        <v>0.9</v>
      </c>
      <c r="Z15" s="26">
        <f>0.708210560611961*(0.88)</f>
        <v>0.62322529333852561</v>
      </c>
      <c r="AB15" s="88">
        <f>Z15*AE15+Z15*AH15+Z15*AK15</f>
        <v>2274033.2758125947</v>
      </c>
      <c r="AC15" s="79">
        <v>199857.737207</v>
      </c>
      <c r="AD15" s="79">
        <v>2136.9067681400002</v>
      </c>
      <c r="AE15" s="79">
        <v>3622521.5464900001</v>
      </c>
      <c r="AF15" s="79">
        <v>3469.1279406100002</v>
      </c>
      <c r="AG15" s="79">
        <v>87.962703111600007</v>
      </c>
      <c r="AH15" s="79">
        <v>26292.614486900002</v>
      </c>
      <c r="AI15" s="80"/>
      <c r="AJ15" s="80"/>
      <c r="AK15" s="80"/>
      <c r="AM15" s="120">
        <f>AB15*M15</f>
        <v>17032516.326998692</v>
      </c>
      <c r="AN15" s="120">
        <f>AM15/L15</f>
        <v>29570.340845483839</v>
      </c>
      <c r="AO15" s="119">
        <f t="shared" si="0"/>
        <v>0.14543253211530383</v>
      </c>
      <c r="AQ15" s="120">
        <f>N15/L15</f>
        <v>7011.5069061283821</v>
      </c>
      <c r="AR15" s="100">
        <f t="shared" si="1"/>
        <v>3.4483917809081506E-2</v>
      </c>
    </row>
    <row r="16" spans="1:44" ht="32">
      <c r="A16" s="4" t="s">
        <v>511</v>
      </c>
      <c r="B16" s="5" t="s">
        <v>302</v>
      </c>
      <c r="C16" s="5" t="s">
        <v>184</v>
      </c>
      <c r="D16" s="5" t="s">
        <v>0</v>
      </c>
      <c r="E16" s="5" t="s">
        <v>765</v>
      </c>
      <c r="F16" s="17" t="s">
        <v>765</v>
      </c>
      <c r="G16" s="5">
        <v>0.3</v>
      </c>
      <c r="H16" s="5"/>
      <c r="I16" s="5"/>
      <c r="J16" s="5"/>
      <c r="K16" s="5"/>
      <c r="L16" s="5">
        <v>95</v>
      </c>
      <c r="M16" s="29">
        <v>216.54621737662529</v>
      </c>
      <c r="N16" s="84">
        <v>446921.99438356189</v>
      </c>
      <c r="O16" s="5">
        <v>3</v>
      </c>
      <c r="P16" s="5">
        <v>1</v>
      </c>
      <c r="Q16" s="4">
        <v>1</v>
      </c>
      <c r="R16" s="5" t="s">
        <v>438</v>
      </c>
      <c r="S16" s="6">
        <v>2</v>
      </c>
      <c r="T16" s="5" t="s">
        <v>443</v>
      </c>
      <c r="U16" s="5">
        <v>1</v>
      </c>
      <c r="V16" s="5" t="s">
        <v>816</v>
      </c>
      <c r="W16" s="4">
        <v>0.7</v>
      </c>
      <c r="X16" s="4">
        <v>0.57999999999999996</v>
      </c>
      <c r="Y16" s="4">
        <v>0.85</v>
      </c>
      <c r="Z16" s="26">
        <f>0.14396030496079*(0.88)</f>
        <v>0.1266850683654952</v>
      </c>
      <c r="AB16" s="88">
        <f>Z16*AE16+Z16*AH16+Z16*AK16</f>
        <v>74884.585784808762</v>
      </c>
      <c r="AC16" s="79">
        <v>458501.17257499998</v>
      </c>
      <c r="AD16" s="79">
        <v>4909.5615661800002</v>
      </c>
      <c r="AE16" s="79">
        <v>591108.22412599996</v>
      </c>
      <c r="AF16" s="80"/>
      <c r="AG16" s="80"/>
      <c r="AH16" s="80"/>
      <c r="AI16" s="80"/>
      <c r="AJ16" s="80"/>
      <c r="AK16" s="80"/>
      <c r="AM16" s="120">
        <f>AB16*M16</f>
        <v>16215973.791515743</v>
      </c>
      <c r="AN16" s="120">
        <f>AM16/L16</f>
        <v>170694.46096332363</v>
      </c>
      <c r="AO16" s="118">
        <f t="shared" si="0"/>
        <v>0.37228794858840203</v>
      </c>
      <c r="AQ16" s="120">
        <f>N16/L16</f>
        <v>4704.4420461427571</v>
      </c>
      <c r="AR16" s="100">
        <f t="shared" si="1"/>
        <v>1.026047985814741E-2</v>
      </c>
    </row>
    <row r="17" spans="1:44" ht="32">
      <c r="A17" s="4" t="s">
        <v>631</v>
      </c>
      <c r="B17" s="5" t="s">
        <v>170</v>
      </c>
      <c r="C17" s="5" t="s">
        <v>170</v>
      </c>
      <c r="D17" s="5" t="s">
        <v>0</v>
      </c>
      <c r="E17" s="5" t="s">
        <v>748</v>
      </c>
      <c r="F17" s="17" t="s">
        <v>748</v>
      </c>
      <c r="G17" s="5">
        <v>0.7</v>
      </c>
      <c r="H17" s="5"/>
      <c r="I17" s="5"/>
      <c r="J17" s="5"/>
      <c r="K17" s="5"/>
      <c r="L17" s="5">
        <v>103</v>
      </c>
      <c r="M17" s="29">
        <v>1.2581054540850005</v>
      </c>
      <c r="N17" s="85">
        <v>269070.75219999999</v>
      </c>
      <c r="O17" s="5">
        <v>2</v>
      </c>
      <c r="P17" s="5">
        <v>2</v>
      </c>
      <c r="Q17" s="4">
        <v>1</v>
      </c>
      <c r="R17" s="5" t="s">
        <v>438</v>
      </c>
      <c r="S17" s="6">
        <v>2</v>
      </c>
      <c r="T17" s="5" t="s">
        <v>443</v>
      </c>
      <c r="U17" s="5">
        <v>1</v>
      </c>
      <c r="V17" s="5" t="s">
        <v>816</v>
      </c>
      <c r="W17" s="4">
        <v>0.57999999999999996</v>
      </c>
      <c r="X17" s="4">
        <v>0.18</v>
      </c>
      <c r="Y17" s="4">
        <v>1.9</v>
      </c>
      <c r="Z17" s="26">
        <f>0.6*(0.88)</f>
        <v>0.52800000000000002</v>
      </c>
      <c r="AB17" s="88">
        <f>Z17*AE17+Z17*AH17+Z17*AK17</f>
        <v>14279.367619334402</v>
      </c>
      <c r="AC17" s="79">
        <v>7346.4592129700004</v>
      </c>
      <c r="AD17" s="79">
        <v>59.509040343700001</v>
      </c>
      <c r="AE17" s="79">
        <v>27044.256854800002</v>
      </c>
      <c r="AF17" s="80"/>
      <c r="AG17" s="80"/>
      <c r="AH17" s="80"/>
      <c r="AI17" s="80"/>
      <c r="AJ17" s="80"/>
      <c r="AK17" s="80"/>
      <c r="AM17" s="120">
        <f>AB17*M17</f>
        <v>17964.950282769361</v>
      </c>
      <c r="AN17" s="120">
        <f>AM17/L17</f>
        <v>174.41699303659576</v>
      </c>
      <c r="AO17" s="118">
        <f t="shared" si="0"/>
        <v>2.3741640425725997E-2</v>
      </c>
      <c r="AQ17" s="120">
        <f>N17/L17</f>
        <v>2612.3373999999999</v>
      </c>
      <c r="AR17" s="100">
        <f t="shared" si="1"/>
        <v>0.35559135690673677</v>
      </c>
    </row>
    <row r="18" spans="1:44" ht="32">
      <c r="A18" s="18" t="s">
        <v>515</v>
      </c>
      <c r="B18" s="17" t="s">
        <v>408</v>
      </c>
      <c r="C18" s="17" t="s">
        <v>213</v>
      </c>
      <c r="D18" s="5" t="s">
        <v>31</v>
      </c>
      <c r="E18" s="18" t="s">
        <v>86</v>
      </c>
      <c r="F18" s="17" t="s">
        <v>86</v>
      </c>
      <c r="G18" s="18">
        <v>0.4</v>
      </c>
      <c r="H18" s="18"/>
      <c r="I18" s="18"/>
      <c r="J18" s="18"/>
      <c r="K18" s="18"/>
      <c r="L18" s="16">
        <v>115</v>
      </c>
      <c r="M18" s="29">
        <v>21.299447386134773</v>
      </c>
      <c r="N18" s="83">
        <v>1945022.46</v>
      </c>
      <c r="O18" s="5">
        <v>4</v>
      </c>
      <c r="P18" s="5">
        <v>3</v>
      </c>
      <c r="Q18" s="4">
        <v>1</v>
      </c>
      <c r="R18" s="5" t="s">
        <v>460</v>
      </c>
      <c r="S18" s="6">
        <v>13</v>
      </c>
      <c r="T18" s="5" t="s">
        <v>451</v>
      </c>
      <c r="U18" s="4">
        <v>1</v>
      </c>
      <c r="V18" s="17" t="s">
        <v>801</v>
      </c>
      <c r="W18" s="4">
        <v>0.51</v>
      </c>
      <c r="X18" s="4">
        <v>0.32</v>
      </c>
      <c r="Y18" s="4">
        <v>0.82</v>
      </c>
      <c r="Z18" s="26">
        <f>0.212487306783715*(0.88)</f>
        <v>0.1869888299696692</v>
      </c>
      <c r="AB18" s="88">
        <f>Z18*AE18+Z18*AH18+Z18*AK18</f>
        <v>15295.029146632478</v>
      </c>
      <c r="AC18" s="79">
        <v>95820.963734399993</v>
      </c>
      <c r="AD18" s="79">
        <v>996.53714334899996</v>
      </c>
      <c r="AE18" s="79">
        <v>81796.485646300003</v>
      </c>
      <c r="AF18" s="80"/>
      <c r="AG18" s="80"/>
      <c r="AH18" s="80"/>
      <c r="AI18" s="80"/>
      <c r="AJ18" s="80"/>
      <c r="AK18" s="80"/>
      <c r="AM18" s="120">
        <f>AB18*M18</f>
        <v>325775.66857809632</v>
      </c>
      <c r="AN18" s="120">
        <f>AM18/L18</f>
        <v>2832.8319006790985</v>
      </c>
      <c r="AO18" s="118">
        <f t="shared" si="0"/>
        <v>2.9563800970852726E-2</v>
      </c>
      <c r="AQ18" s="120">
        <f>N18/L18</f>
        <v>16913.238782608696</v>
      </c>
      <c r="AR18" s="100">
        <f t="shared" si="1"/>
        <v>0.17650875260960036</v>
      </c>
    </row>
    <row r="19" spans="1:44" ht="48">
      <c r="A19" s="18" t="s">
        <v>576</v>
      </c>
      <c r="B19" s="17" t="s">
        <v>318</v>
      </c>
      <c r="C19" s="17" t="s">
        <v>198</v>
      </c>
      <c r="D19" s="5" t="s">
        <v>0</v>
      </c>
      <c r="E19" s="18" t="s">
        <v>1144</v>
      </c>
      <c r="F19" s="17" t="s">
        <v>1144</v>
      </c>
      <c r="G19" s="17">
        <v>0.8</v>
      </c>
      <c r="H19" s="17" t="s">
        <v>1053</v>
      </c>
      <c r="I19" s="17">
        <v>0.5</v>
      </c>
      <c r="L19" s="16">
        <v>285</v>
      </c>
      <c r="M19" s="29">
        <v>3.5904528499278272</v>
      </c>
      <c r="N19" s="83">
        <v>1429709.6968120886</v>
      </c>
      <c r="O19" s="5">
        <v>2</v>
      </c>
      <c r="P19" s="5">
        <v>1</v>
      </c>
      <c r="Q19" s="4">
        <v>1</v>
      </c>
      <c r="R19" s="7" t="s">
        <v>577</v>
      </c>
      <c r="S19" s="8" t="s">
        <v>578</v>
      </c>
      <c r="T19" s="7" t="s">
        <v>451</v>
      </c>
      <c r="U19" s="4">
        <v>1</v>
      </c>
      <c r="V19" s="5" t="s">
        <v>770</v>
      </c>
      <c r="W19" s="4">
        <v>0.81</v>
      </c>
      <c r="X19" s="4">
        <v>0.51</v>
      </c>
      <c r="Y19" s="4">
        <v>1.3</v>
      </c>
      <c r="Z19" s="26">
        <f>0.8*(0.88)</f>
        <v>0.70400000000000007</v>
      </c>
      <c r="AB19" s="88">
        <f>Z19*AE19+Z19*AH19+Z19*AK19</f>
        <v>3366994.4308422403</v>
      </c>
      <c r="AC19" s="79">
        <v>127494.88746699999</v>
      </c>
      <c r="AD19" s="79">
        <v>4.4266681950200004</v>
      </c>
      <c r="AE19" s="79">
        <v>4782662.5438099997</v>
      </c>
      <c r="AF19" s="81">
        <v>2162.03634483</v>
      </c>
      <c r="AG19" s="81">
        <v>51.656090575599997</v>
      </c>
      <c r="AH19" s="81">
        <v>0</v>
      </c>
      <c r="AI19" s="80"/>
      <c r="AJ19" s="80"/>
      <c r="AK19" s="80"/>
      <c r="AM19" s="120">
        <f>AB19*M19</f>
        <v>12089034.749908645</v>
      </c>
      <c r="AN19" s="120">
        <f>AM19/L19</f>
        <v>42417.665789153136</v>
      </c>
      <c r="AO19" s="118">
        <f t="shared" si="0"/>
        <v>0.32715310946844256</v>
      </c>
      <c r="AQ19" s="120">
        <f>N19/L19</f>
        <v>5016.5252519722408</v>
      </c>
      <c r="AR19" s="100">
        <f t="shared" si="1"/>
        <v>3.869076254849823E-2</v>
      </c>
    </row>
    <row r="20" spans="1:44" ht="64">
      <c r="A20" s="4" t="s">
        <v>554</v>
      </c>
      <c r="B20" s="5" t="s">
        <v>423</v>
      </c>
      <c r="C20" s="5" t="s">
        <v>131</v>
      </c>
      <c r="D20" s="5" t="s">
        <v>116</v>
      </c>
      <c r="E20" s="5" t="s">
        <v>976</v>
      </c>
      <c r="F20" s="17" t="s">
        <v>976</v>
      </c>
      <c r="G20" s="5">
        <v>0.05</v>
      </c>
      <c r="H20" s="5" t="s">
        <v>1145</v>
      </c>
      <c r="I20" s="5">
        <v>0.05</v>
      </c>
      <c r="J20" s="5" t="s">
        <v>977</v>
      </c>
      <c r="K20" s="5">
        <v>0.05</v>
      </c>
      <c r="L20" s="16">
        <v>380</v>
      </c>
      <c r="M20" s="29">
        <v>1.2581054540850005</v>
      </c>
      <c r="N20" s="84">
        <v>323432.13392940117</v>
      </c>
      <c r="O20" s="5">
        <v>2</v>
      </c>
      <c r="P20" s="5">
        <v>1</v>
      </c>
      <c r="Q20" s="4">
        <v>1</v>
      </c>
      <c r="R20" s="5" t="s">
        <v>431</v>
      </c>
      <c r="S20" s="6">
        <v>11</v>
      </c>
      <c r="T20" s="5" t="s">
        <v>451</v>
      </c>
      <c r="U20" s="5">
        <v>1</v>
      </c>
      <c r="V20" s="5" t="s">
        <v>798</v>
      </c>
      <c r="W20" s="4">
        <v>0.6</v>
      </c>
      <c r="X20" s="4">
        <v>0.44</v>
      </c>
      <c r="Y20" s="4">
        <v>0.81</v>
      </c>
      <c r="Z20" s="26">
        <f>0.1*(0.88)</f>
        <v>8.8000000000000009E-2</v>
      </c>
      <c r="AB20" s="88">
        <f>Z20*AE20+Z20*AH20+Z20*AK20</f>
        <v>69677.1951648432</v>
      </c>
      <c r="AC20" s="79">
        <v>1370184.8285600001</v>
      </c>
      <c r="AD20" s="79">
        <v>50810.910557000003</v>
      </c>
      <c r="AE20" s="79">
        <v>635710.97274799994</v>
      </c>
      <c r="AF20" s="79">
        <v>412503.45444</v>
      </c>
      <c r="AG20" s="79">
        <v>13108.120278599999</v>
      </c>
      <c r="AH20" s="79">
        <v>26637.688923400001</v>
      </c>
      <c r="AI20" s="79">
        <v>238376.01220600001</v>
      </c>
      <c r="AJ20" s="79">
        <v>10023.6918381</v>
      </c>
      <c r="AK20" s="79">
        <v>129437.64702</v>
      </c>
      <c r="AM20" s="120">
        <f>AB20*M20</f>
        <v>87661.259262234264</v>
      </c>
      <c r="AN20" s="120">
        <f>AM20/L20</f>
        <v>230.68752437430069</v>
      </c>
      <c r="AO20" s="118">
        <f t="shared" si="0"/>
        <v>1.141416059456869E-4</v>
      </c>
      <c r="AQ20" s="120">
        <f>N20/L20</f>
        <v>851.1371945510557</v>
      </c>
      <c r="AR20" s="100">
        <f t="shared" si="1"/>
        <v>4.211331606668665E-4</v>
      </c>
    </row>
    <row r="21" spans="1:44" ht="32">
      <c r="A21" s="4" t="s">
        <v>647</v>
      </c>
      <c r="B21" s="5" t="s">
        <v>366</v>
      </c>
      <c r="C21" s="5" t="s">
        <v>77</v>
      </c>
      <c r="D21" s="5" t="s">
        <v>31</v>
      </c>
      <c r="E21" s="5" t="s">
        <v>907</v>
      </c>
      <c r="F21" s="17" t="s">
        <v>907</v>
      </c>
      <c r="G21" s="5">
        <v>0.2</v>
      </c>
      <c r="H21" s="5" t="s">
        <v>853</v>
      </c>
      <c r="I21" s="5">
        <v>0.2</v>
      </c>
      <c r="K21" s="5"/>
      <c r="L21" s="5">
        <v>437</v>
      </c>
      <c r="M21" s="29">
        <v>21.299447386134773</v>
      </c>
      <c r="N21" s="84">
        <v>888144.1399999999</v>
      </c>
      <c r="O21" s="5">
        <v>3</v>
      </c>
      <c r="P21" s="5">
        <v>1</v>
      </c>
      <c r="Q21" s="4">
        <v>1</v>
      </c>
      <c r="R21" s="5" t="s">
        <v>460</v>
      </c>
      <c r="S21" s="6">
        <v>13</v>
      </c>
      <c r="T21" s="5" t="s">
        <v>451</v>
      </c>
      <c r="U21" s="5">
        <v>1</v>
      </c>
      <c r="V21" s="5" t="s">
        <v>800</v>
      </c>
      <c r="W21" s="4">
        <v>1.49</v>
      </c>
      <c r="X21" s="4">
        <v>1.29</v>
      </c>
      <c r="Y21" s="4">
        <v>1.72</v>
      </c>
      <c r="Z21" s="26">
        <f>0.212487306783715*(0.88)</f>
        <v>0.1869888299696692</v>
      </c>
      <c r="AB21" s="88">
        <f>Z21*AE21+Z21*AH21+Z21*AK21</f>
        <v>481087.72801172466</v>
      </c>
      <c r="AC21" s="79">
        <v>196199.655134</v>
      </c>
      <c r="AD21" s="79">
        <v>0</v>
      </c>
      <c r="AE21" s="79">
        <v>1091221.1520199999</v>
      </c>
      <c r="AF21" s="79">
        <v>141942.952854</v>
      </c>
      <c r="AG21" s="79">
        <v>0</v>
      </c>
      <c r="AH21" s="79">
        <v>1481594.17652</v>
      </c>
      <c r="AI21" s="80"/>
      <c r="AJ21" s="80"/>
      <c r="AK21" s="80"/>
      <c r="AM21" s="120">
        <f>AB21*M21</f>
        <v>10246902.750900846</v>
      </c>
      <c r="AN21" s="120">
        <f>AM21/L21</f>
        <v>23448.290047828024</v>
      </c>
      <c r="AO21" s="118">
        <f t="shared" si="0"/>
        <v>6.9344381612683831E-2</v>
      </c>
      <c r="AQ21" s="120">
        <f>N21/L21</f>
        <v>2032.3664530892447</v>
      </c>
      <c r="AR21" s="100">
        <f t="shared" si="1"/>
        <v>6.0103826169146043E-3</v>
      </c>
    </row>
    <row r="22" spans="1:44" ht="48">
      <c r="A22" s="4" t="s">
        <v>615</v>
      </c>
      <c r="B22" s="5" t="s">
        <v>415</v>
      </c>
      <c r="C22" s="5" t="s">
        <v>166</v>
      </c>
      <c r="D22" s="5" t="s">
        <v>1</v>
      </c>
      <c r="E22" s="4" t="s">
        <v>825</v>
      </c>
      <c r="F22" s="17" t="s">
        <v>825</v>
      </c>
      <c r="G22" s="4">
        <v>0.85</v>
      </c>
      <c r="H22" s="4"/>
      <c r="I22" s="4"/>
      <c r="J22" s="4"/>
      <c r="K22" s="4"/>
      <c r="L22" s="5">
        <v>440.3</v>
      </c>
      <c r="M22" s="29">
        <v>1.1496900605005875</v>
      </c>
      <c r="N22" s="83">
        <v>107311.01999999999</v>
      </c>
      <c r="O22" s="5">
        <v>5</v>
      </c>
      <c r="P22" s="5">
        <v>2</v>
      </c>
      <c r="Q22" s="4">
        <v>1</v>
      </c>
      <c r="R22" s="5" t="s">
        <v>447</v>
      </c>
      <c r="S22" s="6">
        <v>18</v>
      </c>
      <c r="T22" s="5" t="s">
        <v>433</v>
      </c>
      <c r="U22" s="31">
        <v>1</v>
      </c>
      <c r="V22" s="5" t="s">
        <v>817</v>
      </c>
      <c r="W22" s="4">
        <v>0.96199999999999997</v>
      </c>
      <c r="X22" s="4">
        <v>0.80400000000000005</v>
      </c>
      <c r="Y22" s="4">
        <v>0.999</v>
      </c>
      <c r="Z22" s="26">
        <f>0.924908816360775*(0.88)</f>
        <v>0.8139197583974821</v>
      </c>
      <c r="AB22" s="88">
        <f>Z22*AE22+Z22*AH22+Z22*AK22</f>
        <v>752050.86479816784</v>
      </c>
      <c r="AC22" s="79">
        <v>87909.506839399997</v>
      </c>
      <c r="AD22" s="79">
        <v>179.459440261</v>
      </c>
      <c r="AE22" s="79">
        <v>923986.495031</v>
      </c>
      <c r="AF22" s="80"/>
      <c r="AG22" s="80"/>
      <c r="AH22" s="80"/>
      <c r="AI22" s="80"/>
      <c r="AJ22" s="80"/>
      <c r="AK22" s="80"/>
      <c r="AM22" s="120">
        <f>AB22*M22</f>
        <v>864625.4042493247</v>
      </c>
      <c r="AN22" s="120">
        <f>AM22/L22</f>
        <v>1963.7188377227451</v>
      </c>
      <c r="AO22" s="118">
        <f t="shared" si="0"/>
        <v>2.2337957614871177E-2</v>
      </c>
      <c r="AQ22" s="120">
        <f>N22/L22</f>
        <v>243.72250738133087</v>
      </c>
      <c r="AR22" s="100">
        <f t="shared" si="1"/>
        <v>2.7724249190315938E-3</v>
      </c>
    </row>
    <row r="23" spans="1:44" ht="48">
      <c r="A23" s="4" t="s">
        <v>646</v>
      </c>
      <c r="B23" s="5" t="s">
        <v>369</v>
      </c>
      <c r="C23" s="5" t="s">
        <v>163</v>
      </c>
      <c r="D23" s="5" t="s">
        <v>31</v>
      </c>
      <c r="E23" s="5" t="s">
        <v>907</v>
      </c>
      <c r="F23" s="17" t="s">
        <v>907</v>
      </c>
      <c r="G23" s="5">
        <v>0.05</v>
      </c>
      <c r="H23" s="5" t="s">
        <v>853</v>
      </c>
      <c r="I23" s="5">
        <v>0.2</v>
      </c>
      <c r="K23" s="5"/>
      <c r="L23" s="16">
        <v>566</v>
      </c>
      <c r="M23" s="29">
        <v>1.2581054540850005</v>
      </c>
      <c r="N23" s="84">
        <v>139324.61153881898</v>
      </c>
      <c r="O23" s="5"/>
      <c r="P23" s="5"/>
      <c r="R23" s="5" t="s">
        <v>523</v>
      </c>
      <c r="S23" s="6">
        <v>20</v>
      </c>
      <c r="T23" s="5" t="s">
        <v>451</v>
      </c>
      <c r="U23" s="4">
        <v>1</v>
      </c>
      <c r="V23" s="5" t="s">
        <v>804</v>
      </c>
      <c r="W23" s="4">
        <v>-0.25</v>
      </c>
      <c r="X23" s="4">
        <v>-0.5</v>
      </c>
      <c r="Y23" s="4">
        <v>0</v>
      </c>
      <c r="Z23" s="26">
        <f>0.1*(0.88)</f>
        <v>8.8000000000000009E-2</v>
      </c>
      <c r="AB23" s="88">
        <f>Z23*AE23+Z23*AH23+Z23*AK23</f>
        <v>226407.74891152</v>
      </c>
      <c r="AC23" s="79">
        <v>196199.655134</v>
      </c>
      <c r="AD23" s="79">
        <v>0</v>
      </c>
      <c r="AE23" s="79">
        <v>1091221.1520199999</v>
      </c>
      <c r="AF23" s="79">
        <v>141942.952854</v>
      </c>
      <c r="AG23" s="79">
        <v>0</v>
      </c>
      <c r="AH23" s="79">
        <v>1481594.17652</v>
      </c>
      <c r="AI23" s="80"/>
      <c r="AJ23" s="80"/>
      <c r="AK23" s="80"/>
      <c r="AM23" s="120">
        <f>AB23*M23</f>
        <v>284844.82375269063</v>
      </c>
      <c r="AN23" s="120">
        <f>AM23/L23</f>
        <v>503.25940592348167</v>
      </c>
      <c r="AO23" s="118">
        <f t="shared" si="0"/>
        <v>1.4883052121646299E-3</v>
      </c>
      <c r="AQ23" s="120">
        <f>N23/L23</f>
        <v>246.15655748907946</v>
      </c>
      <c r="AR23" s="100">
        <f t="shared" si="1"/>
        <v>7.2796669710968522E-4</v>
      </c>
    </row>
    <row r="24" spans="1:44" ht="64">
      <c r="A24" s="4" t="s">
        <v>440</v>
      </c>
      <c r="B24" s="5" t="s">
        <v>399</v>
      </c>
      <c r="C24" s="5" t="s">
        <v>141</v>
      </c>
      <c r="D24" s="5" t="s">
        <v>0</v>
      </c>
      <c r="E24" s="5" t="s">
        <v>761</v>
      </c>
      <c r="F24" s="17" t="s">
        <v>1099</v>
      </c>
      <c r="G24" s="5">
        <v>0.3</v>
      </c>
      <c r="H24" s="5" t="s">
        <v>1094</v>
      </c>
      <c r="I24" s="5">
        <v>0.05</v>
      </c>
      <c r="K24" s="5"/>
      <c r="L24" s="16">
        <v>576</v>
      </c>
      <c r="M24" s="29">
        <v>1.6278196387318138</v>
      </c>
      <c r="N24" s="84">
        <v>212428.50115096814</v>
      </c>
      <c r="O24" s="1"/>
      <c r="P24" s="1"/>
      <c r="Q24"/>
      <c r="R24" s="7" t="s">
        <v>441</v>
      </c>
      <c r="S24" s="8" t="s">
        <v>442</v>
      </c>
      <c r="T24" s="7" t="s">
        <v>443</v>
      </c>
      <c r="U24" s="4">
        <v>1</v>
      </c>
      <c r="V24" s="5" t="s">
        <v>773</v>
      </c>
      <c r="W24" s="4" t="s">
        <v>774</v>
      </c>
      <c r="X24" s="4">
        <v>1.18</v>
      </c>
      <c r="Y24" s="4">
        <v>2.59</v>
      </c>
      <c r="Z24" s="26">
        <f>0.322446666744185*(0.88)</f>
        <v>0.28375306673488276</v>
      </c>
      <c r="AB24" s="88">
        <f t="shared" ref="AB24:AB25" si="7">Z24*AE24+Z24*AH24+Z24*AK24</f>
        <v>1282256.4033690214</v>
      </c>
      <c r="AC24" s="79">
        <v>199857.737207</v>
      </c>
      <c r="AD24" s="79">
        <v>2136.9067681400002</v>
      </c>
      <c r="AE24" s="79">
        <v>3622521.5464900001</v>
      </c>
      <c r="AF24" s="79">
        <v>486829.91165600001</v>
      </c>
      <c r="AG24" s="79">
        <v>8515.3467524999996</v>
      </c>
      <c r="AH24" s="79">
        <v>896394.91183700005</v>
      </c>
      <c r="AI24" s="80"/>
      <c r="AJ24" s="80"/>
      <c r="AK24" s="80"/>
      <c r="AM24" s="120">
        <f t="shared" ref="AM24" si="8">AB24*M24</f>
        <v>2087282.1552937152</v>
      </c>
      <c r="AN24" s="120">
        <f t="shared" ref="AN24" si="9">AM24/L24</f>
        <v>3623.7537418293668</v>
      </c>
      <c r="AO24" s="118">
        <f t="shared" ref="AO24" si="10">AN24/(AC24+AF24+AI24)</f>
        <v>5.2771500227643334E-3</v>
      </c>
      <c r="AQ24" s="120">
        <f t="shared" ref="AQ24" si="11">N24/L24</f>
        <v>368.79948116487526</v>
      </c>
      <c r="AR24" s="100">
        <f t="shared" ref="AR24" si="12">AQ24/(AC24+AF24+AI24)</f>
        <v>5.3707021201782805E-4</v>
      </c>
    </row>
    <row r="25" spans="1:44" ht="80">
      <c r="A25" s="18" t="s">
        <v>696</v>
      </c>
      <c r="B25" s="17" t="s">
        <v>292</v>
      </c>
      <c r="C25" s="17" t="s">
        <v>176</v>
      </c>
      <c r="D25" s="5" t="s">
        <v>1</v>
      </c>
      <c r="E25" s="20" t="s">
        <v>90</v>
      </c>
      <c r="F25" s="20" t="s">
        <v>90</v>
      </c>
      <c r="G25" s="5">
        <v>0.2</v>
      </c>
      <c r="H25" s="5"/>
      <c r="I25" s="5"/>
      <c r="K25" s="5"/>
      <c r="L25" s="16">
        <v>624</v>
      </c>
      <c r="M25" s="29">
        <v>0.92177949382319446</v>
      </c>
      <c r="N25" s="83">
        <v>12552.928266478431</v>
      </c>
      <c r="O25" s="5"/>
      <c r="P25" s="5"/>
      <c r="Q25" s="4">
        <v>1</v>
      </c>
      <c r="R25" s="5" t="s">
        <v>462</v>
      </c>
      <c r="S25" s="6" t="s">
        <v>458</v>
      </c>
      <c r="T25" s="5" t="s">
        <v>433</v>
      </c>
      <c r="U25" s="4">
        <v>1</v>
      </c>
      <c r="V25" s="20"/>
      <c r="Z25" s="26">
        <f>0.1*(0.88)</f>
        <v>8.8000000000000009E-2</v>
      </c>
      <c r="AB25" s="88">
        <f t="shared" si="7"/>
        <v>182.78694883064003</v>
      </c>
      <c r="AC25" s="80">
        <v>10702.874832</v>
      </c>
      <c r="AD25" s="80">
        <v>197.28898791699999</v>
      </c>
      <c r="AE25" s="80">
        <v>2077.1244185300002</v>
      </c>
      <c r="AF25" s="80"/>
      <c r="AG25" s="80"/>
      <c r="AH25" s="80"/>
      <c r="AI25" s="80"/>
      <c r="AJ25" s="80"/>
      <c r="AK25" s="80"/>
      <c r="AM25" s="120">
        <f t="shared" ref="AM25" si="13">AB25*M25</f>
        <v>168.48926117059352</v>
      </c>
      <c r="AN25" s="120">
        <f t="shared" ref="AN25" si="14">AM25/L25</f>
        <v>0.27001484161954092</v>
      </c>
      <c r="AO25" s="118">
        <f t="shared" ref="AO25" si="15">AN25/(AC25+AF25+AI25)</f>
        <v>2.5228253703597169E-5</v>
      </c>
      <c r="AQ25" s="120">
        <f t="shared" ref="AQ25" si="16">N25/L25</f>
        <v>20.116872221920563</v>
      </c>
      <c r="AR25" s="100">
        <f t="shared" ref="AR25" si="17">AQ25/(AC25+AF25+AI25)</f>
        <v>1.8795765191772695E-3</v>
      </c>
    </row>
    <row r="26" spans="1:44" ht="48">
      <c r="A26" s="4" t="s">
        <v>542</v>
      </c>
      <c r="B26" s="5" t="s">
        <v>259</v>
      </c>
      <c r="C26" s="5" t="s">
        <v>64</v>
      </c>
      <c r="D26" s="5" t="s">
        <v>0</v>
      </c>
      <c r="E26" s="5" t="s">
        <v>88</v>
      </c>
      <c r="F26" s="17" t="s">
        <v>88</v>
      </c>
      <c r="G26" s="5">
        <v>0.6</v>
      </c>
      <c r="H26" s="5"/>
      <c r="I26" s="5"/>
      <c r="J26" s="5"/>
      <c r="K26" s="5"/>
      <c r="L26" s="5">
        <v>1186</v>
      </c>
      <c r="M26" s="29">
        <v>0.248529494536535</v>
      </c>
      <c r="N26" s="84">
        <v>102197.15999999999</v>
      </c>
      <c r="O26" s="5">
        <v>2</v>
      </c>
      <c r="P26" s="5">
        <v>1</v>
      </c>
      <c r="R26" s="5" t="s">
        <v>543</v>
      </c>
      <c r="S26" s="6" t="s">
        <v>544</v>
      </c>
      <c r="T26" s="5" t="s">
        <v>443</v>
      </c>
      <c r="U26" s="4">
        <v>1</v>
      </c>
      <c r="V26" s="5"/>
      <c r="Z26" s="26">
        <v>0.4</v>
      </c>
      <c r="AB26" s="88">
        <f>Z26*AE26+Z26*AH26+Z26*AK26</f>
        <v>1436.7043187879999</v>
      </c>
      <c r="AC26" s="80">
        <v>8953.8136729599992</v>
      </c>
      <c r="AD26" s="80">
        <v>159.16499282199999</v>
      </c>
      <c r="AE26" s="80">
        <v>3591.7607969699998</v>
      </c>
      <c r="AF26" s="80"/>
      <c r="AG26" s="80"/>
      <c r="AH26" s="80"/>
      <c r="AI26" s="80"/>
      <c r="AJ26" s="80"/>
      <c r="AK26" s="80"/>
      <c r="AM26" s="120">
        <f>AB26*M26</f>
        <v>357.06339814683844</v>
      </c>
      <c r="AN26" s="120">
        <f>AM26/L26</f>
        <v>0.30106525982026849</v>
      </c>
      <c r="AO26" s="118">
        <f t="shared" si="0"/>
        <v>3.36242489308738E-5</v>
      </c>
      <c r="AQ26" s="120">
        <f>N26/L26</f>
        <v>86.169612141652607</v>
      </c>
      <c r="AR26" s="100">
        <f t="shared" si="1"/>
        <v>9.6237888445098955E-3</v>
      </c>
    </row>
    <row r="27" spans="1:44" ht="80">
      <c r="A27" s="18" t="s">
        <v>702</v>
      </c>
      <c r="B27" s="17" t="s">
        <v>322</v>
      </c>
      <c r="C27" s="17" t="s">
        <v>121</v>
      </c>
      <c r="D27" s="5" t="s">
        <v>0</v>
      </c>
      <c r="E27" s="5" t="s">
        <v>96</v>
      </c>
      <c r="F27" s="17" t="s">
        <v>96</v>
      </c>
      <c r="G27" s="5">
        <v>0.8</v>
      </c>
      <c r="H27" s="5"/>
      <c r="I27" s="5"/>
      <c r="J27" s="5"/>
      <c r="K27" s="5"/>
      <c r="L27" s="16">
        <v>1830</v>
      </c>
      <c r="M27" s="29">
        <v>0.26010121047192036</v>
      </c>
      <c r="N27" s="83">
        <v>256956.89162639037</v>
      </c>
      <c r="O27" s="5">
        <v>1</v>
      </c>
      <c r="P27" s="5">
        <v>3</v>
      </c>
      <c r="Q27" s="4">
        <v>1</v>
      </c>
      <c r="R27" s="5" t="s">
        <v>703</v>
      </c>
      <c r="S27" s="6" t="s">
        <v>704</v>
      </c>
      <c r="T27" s="5" t="s">
        <v>443</v>
      </c>
      <c r="U27" s="4">
        <v>1</v>
      </c>
      <c r="V27" s="36" t="s">
        <v>770</v>
      </c>
      <c r="W27" s="4">
        <v>0.38</v>
      </c>
      <c r="X27" s="4">
        <v>0.27</v>
      </c>
      <c r="Y27" s="4">
        <v>0.55000000000000004</v>
      </c>
      <c r="Z27" s="26">
        <f>0.8*(0.88)</f>
        <v>0.70400000000000007</v>
      </c>
      <c r="AB27" s="88">
        <f>Z27*AE27+Z27*AH27+Z27*AK27</f>
        <v>151.61268747116802</v>
      </c>
      <c r="AC27" s="80">
        <v>67557.534916100005</v>
      </c>
      <c r="AD27" s="80">
        <v>800.24587469100004</v>
      </c>
      <c r="AE27" s="80">
        <v>215.35893106699999</v>
      </c>
      <c r="AF27" s="80"/>
      <c r="AG27" s="80"/>
      <c r="AH27" s="80"/>
      <c r="AI27" s="80"/>
      <c r="AJ27" s="80"/>
      <c r="AK27" s="80"/>
      <c r="AM27" s="120">
        <f>AB27*M27</f>
        <v>39.434643534151753</v>
      </c>
      <c r="AN27" s="120">
        <f>AM27/L27</f>
        <v>2.1548985537787842E-2</v>
      </c>
      <c r="AO27" s="118">
        <f t="shared" si="0"/>
        <v>3.1897234800751122E-7</v>
      </c>
      <c r="AQ27" s="120">
        <f>N27/L27</f>
        <v>140.41360198163409</v>
      </c>
      <c r="AR27" s="100">
        <f t="shared" si="1"/>
        <v>2.0784299213405929E-3</v>
      </c>
    </row>
    <row r="28" spans="1:44" ht="80">
      <c r="A28" s="18" t="s">
        <v>582</v>
      </c>
      <c r="B28" s="17" t="s">
        <v>353</v>
      </c>
      <c r="C28" s="17" t="s">
        <v>220</v>
      </c>
      <c r="D28" s="5" t="s">
        <v>1</v>
      </c>
      <c r="E28" s="20" t="s">
        <v>744</v>
      </c>
      <c r="F28" s="20" t="s">
        <v>744</v>
      </c>
      <c r="G28" s="5">
        <v>0.5</v>
      </c>
      <c r="H28" s="5"/>
      <c r="I28" s="5"/>
      <c r="J28" s="5"/>
      <c r="K28" s="5"/>
      <c r="L28" s="16">
        <v>2040</v>
      </c>
      <c r="M28" s="29">
        <v>12.313176410983239</v>
      </c>
      <c r="N28" s="83">
        <v>403267.66885170119</v>
      </c>
      <c r="O28" s="5">
        <v>6</v>
      </c>
      <c r="P28" s="5">
        <v>1</v>
      </c>
      <c r="Q28" s="4">
        <v>1</v>
      </c>
      <c r="R28" s="5" t="s">
        <v>462</v>
      </c>
      <c r="S28" s="6" t="s">
        <v>458</v>
      </c>
      <c r="T28" s="5" t="s">
        <v>433</v>
      </c>
      <c r="U28" s="4">
        <v>1</v>
      </c>
      <c r="V28" s="36" t="s">
        <v>770</v>
      </c>
      <c r="W28" s="4">
        <v>0.15</v>
      </c>
      <c r="X28" s="4">
        <v>0.12</v>
      </c>
      <c r="Y28" s="4">
        <v>0.32</v>
      </c>
      <c r="Z28" s="26">
        <f>0.391259294961732*(0.88)</f>
        <v>0.34430817956632415</v>
      </c>
      <c r="AB28" s="88">
        <f>Z28*AE28+Z28*AH28+Z28*AK28</f>
        <v>2330.004124989458</v>
      </c>
      <c r="AC28" s="80">
        <v>17462.001924200002</v>
      </c>
      <c r="AD28" s="80">
        <v>280.77375965800002</v>
      </c>
      <c r="AE28" s="80">
        <v>6767.2052633900003</v>
      </c>
      <c r="AF28" s="80"/>
      <c r="AG28" s="80"/>
      <c r="AH28" s="80"/>
      <c r="AI28" s="80"/>
      <c r="AJ28" s="80"/>
      <c r="AK28" s="80"/>
      <c r="AM28" s="120">
        <f t="shared" ref="AM28" si="18">AB28*M28</f>
        <v>28689.751829313835</v>
      </c>
      <c r="AN28" s="120">
        <f>AM28/L28</f>
        <v>14.063603837898938</v>
      </c>
      <c r="AO28" s="118">
        <f t="shared" ref="AO28" si="19">AN28/(AC28+AF28+AI28)</f>
        <v>8.0538324866455673E-4</v>
      </c>
      <c r="AQ28" s="120">
        <f t="shared" ref="AQ28" si="20">N28/L28</f>
        <v>197.6802298292653</v>
      </c>
      <c r="AR28" s="100">
        <f t="shared" ref="AR28" si="21">AQ28/(AC28+AF28+AI28)</f>
        <v>1.1320593749065329E-2</v>
      </c>
    </row>
    <row r="29" spans="1:44" ht="80">
      <c r="A29" s="18" t="s">
        <v>626</v>
      </c>
      <c r="B29" s="17" t="s">
        <v>275</v>
      </c>
      <c r="C29" s="17" t="s">
        <v>129</v>
      </c>
      <c r="D29" s="5" t="s">
        <v>31</v>
      </c>
      <c r="E29" s="17" t="s">
        <v>752</v>
      </c>
      <c r="F29" s="17" t="s">
        <v>964</v>
      </c>
      <c r="G29" s="18">
        <v>0.2</v>
      </c>
      <c r="H29" s="18" t="s">
        <v>881</v>
      </c>
      <c r="I29" s="18">
        <v>0.05</v>
      </c>
      <c r="J29" s="18" t="s">
        <v>760</v>
      </c>
      <c r="K29" s="18">
        <v>0.1</v>
      </c>
      <c r="L29" s="16">
        <v>4393</v>
      </c>
      <c r="M29" s="29">
        <v>0.78435308805910964</v>
      </c>
      <c r="N29" s="84">
        <v>204721.3732486786</v>
      </c>
      <c r="O29" s="5">
        <v>0</v>
      </c>
      <c r="P29" s="5">
        <v>1</v>
      </c>
      <c r="R29" s="5" t="s">
        <v>431</v>
      </c>
      <c r="S29" s="6">
        <v>11</v>
      </c>
      <c r="T29" s="5" t="s">
        <v>451</v>
      </c>
      <c r="U29" s="4">
        <v>1</v>
      </c>
      <c r="V29" s="17" t="s">
        <v>799</v>
      </c>
      <c r="W29" s="4">
        <v>7.2300000000000003E-2</v>
      </c>
      <c r="X29" s="4" t="s">
        <v>772</v>
      </c>
      <c r="Y29" s="4" t="s">
        <v>772</v>
      </c>
      <c r="Z29" s="26">
        <f>0.210614324578582*(0.88)</f>
        <v>0.18534060562915217</v>
      </c>
      <c r="AB29" s="88">
        <f>Z29*AE29+Z29*AH29+Z29*AK29</f>
        <v>39848.827252334675</v>
      </c>
      <c r="AC29" s="79">
        <v>51764.687521</v>
      </c>
      <c r="AD29" s="79">
        <v>1857.13182147</v>
      </c>
      <c r="AE29" s="79">
        <v>19859.586840600001</v>
      </c>
      <c r="AF29" s="79">
        <v>35153.148083499997</v>
      </c>
      <c r="AG29" s="79">
        <v>1306.2770988699999</v>
      </c>
      <c r="AH29" s="79">
        <v>179671.77161200001</v>
      </c>
      <c r="AI29" s="79">
        <v>51957.7302872</v>
      </c>
      <c r="AJ29" s="79">
        <v>918.65042844200002</v>
      </c>
      <c r="AK29" s="79">
        <v>15471.862870999999</v>
      </c>
      <c r="AM29" s="120">
        <f>AB29*M29</f>
        <v>31255.550710902706</v>
      </c>
      <c r="AN29" s="120">
        <f t="shared" ref="AN29" si="22">AM29/L29</f>
        <v>7.1148533373327352</v>
      </c>
      <c r="AO29" s="118">
        <f>AN29/(AC29+AF29+AI29)</f>
        <v>5.1231858474522052E-5</v>
      </c>
      <c r="AQ29" s="120">
        <f t="shared" ref="AQ29" si="23">N29/L29</f>
        <v>46.601723935506172</v>
      </c>
      <c r="AR29" s="100">
        <f t="shared" ref="AR29" si="24">AQ29/(AC29+AF29+AI29)</f>
        <v>3.3556460156459648E-4</v>
      </c>
    </row>
    <row r="30" spans="1:44" ht="80">
      <c r="A30" s="18" t="s">
        <v>474</v>
      </c>
      <c r="B30" s="17" t="s">
        <v>396</v>
      </c>
      <c r="C30" s="17" t="s">
        <v>217</v>
      </c>
      <c r="D30" s="5" t="s">
        <v>116</v>
      </c>
      <c r="E30" s="17" t="s">
        <v>92</v>
      </c>
      <c r="F30" s="17" t="s">
        <v>92</v>
      </c>
      <c r="G30" s="17">
        <v>0.4</v>
      </c>
      <c r="L30" s="16">
        <v>5488</v>
      </c>
      <c r="M30" s="29">
        <v>19.359239841281244</v>
      </c>
      <c r="N30" s="86">
        <v>1108649.7</v>
      </c>
      <c r="O30" s="5">
        <v>3</v>
      </c>
      <c r="P30" s="5">
        <v>3</v>
      </c>
      <c r="Q30" s="4">
        <v>1</v>
      </c>
      <c r="R30" s="5" t="s">
        <v>461</v>
      </c>
      <c r="S30" s="6">
        <v>1</v>
      </c>
      <c r="T30" s="5" t="s">
        <v>433</v>
      </c>
      <c r="U30" s="4">
        <v>1</v>
      </c>
      <c r="Z30" s="26">
        <f>0.253110379496502*(0.88)</f>
        <v>0.22273713395692177</v>
      </c>
      <c r="AB30" s="88">
        <f>Z30*AE30+Z30*AH30+Z30*AK30</f>
        <v>9829.5412967891862</v>
      </c>
      <c r="AC30" s="79">
        <v>362621.077919</v>
      </c>
      <c r="AD30" s="79">
        <v>3972.5123857600001</v>
      </c>
      <c r="AE30" s="79">
        <v>44130.680511899998</v>
      </c>
      <c r="AF30" s="80"/>
      <c r="AG30" s="80"/>
      <c r="AH30" s="80"/>
      <c r="AI30" s="80"/>
      <c r="AJ30" s="80"/>
      <c r="AK30" s="80"/>
      <c r="AM30" s="120">
        <f>AB30*M30</f>
        <v>190292.44749432051</v>
      </c>
      <c r="AN30" s="120">
        <f>AM30/L30</f>
        <v>34.674279791239158</v>
      </c>
      <c r="AO30" s="118">
        <f t="shared" si="0"/>
        <v>9.5621247364403007E-5</v>
      </c>
      <c r="AQ30" s="120">
        <f>N30/L30</f>
        <v>202.01342930029153</v>
      </c>
      <c r="AR30" s="100">
        <f t="shared" si="1"/>
        <v>5.570923523243622E-4</v>
      </c>
    </row>
    <row r="31" spans="1:44" ht="64">
      <c r="A31" s="18" t="s">
        <v>645</v>
      </c>
      <c r="B31" s="17" t="s">
        <v>340</v>
      </c>
      <c r="C31" s="17" t="s">
        <v>214</v>
      </c>
      <c r="D31" s="5" t="s">
        <v>31</v>
      </c>
      <c r="E31" s="17" t="s">
        <v>757</v>
      </c>
      <c r="F31" s="17" t="s">
        <v>853</v>
      </c>
      <c r="G31" s="17">
        <v>0.2</v>
      </c>
      <c r="H31" s="17" t="s">
        <v>860</v>
      </c>
      <c r="I31" s="17">
        <v>0.05</v>
      </c>
      <c r="J31" s="17" t="s">
        <v>896</v>
      </c>
      <c r="K31" s="17">
        <v>0.05</v>
      </c>
      <c r="L31" s="16">
        <v>11484</v>
      </c>
      <c r="M31" s="29">
        <v>21.299447386134773</v>
      </c>
      <c r="N31" s="83">
        <v>1534557.7389</v>
      </c>
      <c r="O31" s="5">
        <v>2</v>
      </c>
      <c r="P31" s="5">
        <v>1</v>
      </c>
      <c r="R31" s="5" t="s">
        <v>586</v>
      </c>
      <c r="S31" s="6" t="s">
        <v>585</v>
      </c>
      <c r="T31" s="5" t="s">
        <v>451</v>
      </c>
      <c r="U31" s="4">
        <v>1</v>
      </c>
      <c r="V31" s="17" t="s">
        <v>817</v>
      </c>
      <c r="W31" s="4">
        <v>0.34</v>
      </c>
      <c r="X31" s="4" t="s">
        <v>772</v>
      </c>
      <c r="Y31" s="4" t="s">
        <v>772</v>
      </c>
      <c r="Z31" s="26">
        <f>0.212487306783715*(0.88)</f>
        <v>0.1869888299696692</v>
      </c>
      <c r="AB31" s="88">
        <f>Z31*AE31+Z31*AH31+Z31*AK31</f>
        <v>427760.78565343912</v>
      </c>
      <c r="AC31" s="79">
        <v>141942.952854</v>
      </c>
      <c r="AD31" s="79">
        <v>0</v>
      </c>
      <c r="AE31" s="79">
        <v>1481594.17652</v>
      </c>
      <c r="AF31" s="79">
        <v>4991.5831607800001</v>
      </c>
      <c r="AG31" s="79">
        <v>0</v>
      </c>
      <c r="AH31" s="79">
        <v>415941.23164000001</v>
      </c>
      <c r="AI31" s="79">
        <v>47097.420551099996</v>
      </c>
      <c r="AJ31" s="79">
        <v>0</v>
      </c>
      <c r="AK31" s="79">
        <v>390092.07056600001</v>
      </c>
      <c r="AM31" s="120">
        <f t="shared" ref="AM31" si="25">AB31*M31</f>
        <v>9111068.3478771001</v>
      </c>
      <c r="AN31" s="120">
        <f t="shared" ref="AN31" si="26">AM31/L31</f>
        <v>793.37063286982755</v>
      </c>
      <c r="AO31" s="118">
        <f>AN31/(AC31+AF31+AI31)</f>
        <v>4.0888658080425692E-3</v>
      </c>
      <c r="AQ31" s="120">
        <f t="shared" ref="AQ31" si="27">N31/L31</f>
        <v>133.62571742424242</v>
      </c>
      <c r="AR31" s="100">
        <f t="shared" ref="AR31" si="28">AQ31/(AC31+AF31+AI31)</f>
        <v>6.8867891552117739E-4</v>
      </c>
    </row>
    <row r="33" spans="14:43">
      <c r="N33" s="84">
        <f>SUM(N2:N30)</f>
        <v>16654774.670929501</v>
      </c>
      <c r="AM33" s="120">
        <f>SUM(AM2:AM31)</f>
        <v>78162879.756986737</v>
      </c>
      <c r="AN33" s="120">
        <f>SUM(AN2:AN31)</f>
        <v>546841.0798716672</v>
      </c>
      <c r="AO33" s="31"/>
      <c r="AP33" s="31"/>
      <c r="AQ33" s="120">
        <f>SUM(AQ2:AQ31)</f>
        <v>281014.66755631618</v>
      </c>
    </row>
  </sheetData>
  <autoFilter ref="A1:Z30" xr:uid="{00000000-0009-0000-0000-000000000000}">
    <sortState ref="A2:Z30">
      <sortCondition ref="L1:L30"/>
    </sortState>
  </autoFilter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749B-6329-7E41-B809-54CA06BF3783}">
  <dimension ref="A1:AA31"/>
  <sheetViews>
    <sheetView topLeftCell="E1" zoomScale="110" zoomScaleNormal="110" workbookViewId="0">
      <pane ySplit="1" topLeftCell="A2" activePane="bottomLeft" state="frozen"/>
      <selection pane="bottomLeft" activeCell="E8" sqref="E8"/>
    </sheetView>
  </sheetViews>
  <sheetFormatPr baseColWidth="10" defaultColWidth="8.83203125" defaultRowHeight="16"/>
  <cols>
    <col min="1" max="1" width="13.1640625" style="4" customWidth="1"/>
    <col min="2" max="2" width="40" style="4" customWidth="1"/>
    <col min="3" max="3" width="58.6640625" style="4" customWidth="1"/>
    <col min="4" max="4" width="18.5" style="4" customWidth="1"/>
    <col min="5" max="5" width="37.5" style="17" customWidth="1"/>
    <col min="6" max="11" width="12.5" style="17" customWidth="1"/>
    <col min="12" max="12" width="22.6640625" style="31" customWidth="1"/>
    <col min="13" max="13" width="14.6640625" style="38" customWidth="1"/>
    <col min="14" max="14" width="11.5" style="31" customWidth="1"/>
    <col min="15" max="15" width="6.6640625" style="4" customWidth="1"/>
    <col min="16" max="16" width="12" style="4" customWidth="1"/>
    <col min="17" max="17" width="9.6640625" style="4" customWidth="1"/>
    <col min="18" max="18" width="17.5" style="5" customWidth="1"/>
    <col min="19" max="19" width="17.5" style="6" customWidth="1"/>
    <col min="20" max="20" width="11.83203125" style="5" customWidth="1"/>
    <col min="21" max="21" width="14.1640625" style="4" customWidth="1"/>
    <col min="22" max="22" width="18" style="17" customWidth="1"/>
    <col min="23" max="23" width="12" style="4" customWidth="1"/>
    <col min="24" max="25" width="8.83203125" style="4" customWidth="1"/>
    <col min="26" max="26" width="11.83203125" style="26" bestFit="1" customWidth="1"/>
    <col min="27" max="27" width="11.83203125" style="26" customWidth="1"/>
    <col min="28" max="16384" width="8.83203125" style="4"/>
  </cols>
  <sheetData>
    <row r="1" spans="1:27" ht="32" customHeight="1" thickBot="1">
      <c r="A1" s="32" t="s">
        <v>428</v>
      </c>
      <c r="B1" s="32" t="s">
        <v>243</v>
      </c>
      <c r="C1" s="32" t="s">
        <v>244</v>
      </c>
      <c r="D1" s="32" t="s">
        <v>238</v>
      </c>
      <c r="E1" s="32" t="s">
        <v>737</v>
      </c>
      <c r="F1" s="32" t="s">
        <v>1136</v>
      </c>
      <c r="G1" s="32" t="s">
        <v>1137</v>
      </c>
      <c r="H1" s="32" t="s">
        <v>1138</v>
      </c>
      <c r="I1" s="32" t="s">
        <v>1139</v>
      </c>
      <c r="J1" s="32" t="s">
        <v>1140</v>
      </c>
      <c r="K1" s="32" t="s">
        <v>1141</v>
      </c>
      <c r="L1" s="33" t="s">
        <v>239</v>
      </c>
      <c r="M1" s="34" t="s">
        <v>240</v>
      </c>
      <c r="N1" s="33" t="s">
        <v>736</v>
      </c>
      <c r="O1" s="32" t="s">
        <v>241</v>
      </c>
      <c r="P1" s="32" t="s">
        <v>242</v>
      </c>
      <c r="Q1" s="74" t="s">
        <v>426</v>
      </c>
      <c r="R1" s="32" t="s">
        <v>427</v>
      </c>
      <c r="S1" s="75" t="s">
        <v>432</v>
      </c>
      <c r="T1" s="32" t="s">
        <v>429</v>
      </c>
      <c r="U1" s="32" t="s">
        <v>733</v>
      </c>
      <c r="V1" s="32" t="s">
        <v>769</v>
      </c>
      <c r="W1" s="32" t="s">
        <v>766</v>
      </c>
      <c r="X1" s="32" t="s">
        <v>767</v>
      </c>
      <c r="Y1" s="32" t="s">
        <v>768</v>
      </c>
      <c r="Z1" s="35" t="s">
        <v>820</v>
      </c>
      <c r="AA1" s="122"/>
    </row>
    <row r="2" spans="1:27" ht="48">
      <c r="A2" s="18" t="s">
        <v>506</v>
      </c>
      <c r="B2" s="17" t="s">
        <v>412</v>
      </c>
      <c r="C2" s="17" t="s">
        <v>216</v>
      </c>
      <c r="D2" s="5" t="s">
        <v>1</v>
      </c>
      <c r="E2" s="17" t="s">
        <v>760</v>
      </c>
      <c r="F2" s="17" t="s">
        <v>760</v>
      </c>
      <c r="G2" s="17">
        <v>0.7</v>
      </c>
      <c r="L2" s="16">
        <v>7</v>
      </c>
      <c r="M2" s="29">
        <v>0.78435308805910964</v>
      </c>
      <c r="N2" s="11">
        <v>2249.183019582937</v>
      </c>
      <c r="O2" s="5">
        <v>5</v>
      </c>
      <c r="P2" s="5">
        <v>3</v>
      </c>
      <c r="Q2" s="4">
        <v>1</v>
      </c>
      <c r="R2" s="7" t="s">
        <v>461</v>
      </c>
      <c r="S2" s="8">
        <v>1</v>
      </c>
      <c r="T2" s="7" t="s">
        <v>433</v>
      </c>
      <c r="U2" s="4">
        <v>1</v>
      </c>
      <c r="V2" s="17" t="s">
        <v>816</v>
      </c>
      <c r="W2" s="4">
        <v>0.41</v>
      </c>
      <c r="X2" s="4">
        <v>0.28999999999999998</v>
      </c>
      <c r="Y2" s="4">
        <v>0.57999999999999996</v>
      </c>
      <c r="Z2" s="26">
        <f>0.210614324578582*(0.88)</f>
        <v>0.18534060562915217</v>
      </c>
    </row>
    <row r="3" spans="1:27" s="77" customFormat="1" ht="48">
      <c r="A3" s="115" t="s">
        <v>630</v>
      </c>
      <c r="B3" s="37" t="s">
        <v>39</v>
      </c>
      <c r="C3" s="37" t="s">
        <v>39</v>
      </c>
      <c r="D3" s="7" t="s">
        <v>31</v>
      </c>
      <c r="E3" s="115" t="s">
        <v>88</v>
      </c>
      <c r="F3" s="37" t="s">
        <v>88</v>
      </c>
      <c r="G3" s="115">
        <v>0.05</v>
      </c>
      <c r="H3" s="115" t="s">
        <v>1105</v>
      </c>
      <c r="I3" s="115">
        <v>0.5</v>
      </c>
      <c r="J3" s="115"/>
      <c r="K3" s="115"/>
      <c r="L3" s="76">
        <v>250</v>
      </c>
      <c r="M3" s="29">
        <v>254.60902660160465</v>
      </c>
      <c r="N3" s="11">
        <v>3533205.6138780504</v>
      </c>
      <c r="O3" s="7">
        <v>5</v>
      </c>
      <c r="P3" s="7">
        <v>1</v>
      </c>
      <c r="Q3" s="116">
        <v>1</v>
      </c>
      <c r="R3" s="7" t="s">
        <v>543</v>
      </c>
      <c r="S3" s="8" t="s">
        <v>544</v>
      </c>
      <c r="T3" s="7" t="s">
        <v>451</v>
      </c>
      <c r="U3" s="116">
        <v>1</v>
      </c>
      <c r="V3" s="37"/>
      <c r="W3" s="116"/>
      <c r="X3" s="116"/>
      <c r="Y3" s="116"/>
      <c r="Z3" s="26">
        <v>0.4</v>
      </c>
      <c r="AA3" s="26"/>
    </row>
    <row r="4" spans="1:27">
      <c r="A4" s="4" t="s">
        <v>446</v>
      </c>
      <c r="B4" s="5" t="s">
        <v>8</v>
      </c>
      <c r="C4" s="5" t="s">
        <v>8</v>
      </c>
      <c r="D4" s="5" t="s">
        <v>1</v>
      </c>
      <c r="E4" s="4" t="s">
        <v>827</v>
      </c>
      <c r="F4" s="17" t="s">
        <v>827</v>
      </c>
      <c r="G4" s="4">
        <v>0.3</v>
      </c>
      <c r="H4" s="4"/>
      <c r="I4" s="4"/>
      <c r="J4" s="4"/>
      <c r="K4" s="4"/>
      <c r="L4" s="5">
        <v>11</v>
      </c>
      <c r="M4" s="29">
        <v>1.2581054540850005</v>
      </c>
      <c r="N4" s="31">
        <v>547.48769225846445</v>
      </c>
      <c r="O4" s="5">
        <v>6</v>
      </c>
      <c r="P4" s="5">
        <v>1</v>
      </c>
      <c r="Q4" s="4">
        <v>1</v>
      </c>
      <c r="R4" s="7" t="s">
        <v>447</v>
      </c>
      <c r="S4" s="8">
        <v>18</v>
      </c>
      <c r="T4" s="7" t="s">
        <v>433</v>
      </c>
      <c r="U4" s="7">
        <v>1</v>
      </c>
      <c r="V4" s="5" t="s">
        <v>770</v>
      </c>
      <c r="W4" s="4">
        <v>0.31200000000000006</v>
      </c>
      <c r="X4" s="4" t="s">
        <v>772</v>
      </c>
      <c r="Y4" s="4" t="s">
        <v>772</v>
      </c>
      <c r="Z4" s="26">
        <f>0.1*(0.88)</f>
        <v>8.8000000000000009E-2</v>
      </c>
    </row>
    <row r="5" spans="1:27" ht="32">
      <c r="A5" s="18" t="s">
        <v>638</v>
      </c>
      <c r="B5" s="17" t="s">
        <v>311</v>
      </c>
      <c r="C5" s="17" t="s">
        <v>153</v>
      </c>
      <c r="D5" s="5" t="s">
        <v>0</v>
      </c>
      <c r="E5" s="17" t="s">
        <v>30</v>
      </c>
      <c r="F5" s="17" t="s">
        <v>30</v>
      </c>
      <c r="G5" s="17">
        <v>0.8</v>
      </c>
      <c r="L5" s="16">
        <v>13</v>
      </c>
      <c r="M5" s="29">
        <v>2.0230000000000001E-2</v>
      </c>
      <c r="N5" s="31">
        <v>193.21521892743283</v>
      </c>
      <c r="O5" s="5">
        <v>2</v>
      </c>
      <c r="P5" s="5">
        <v>1</v>
      </c>
      <c r="R5" s="5" t="s">
        <v>477</v>
      </c>
      <c r="S5" s="6">
        <v>8</v>
      </c>
      <c r="T5" s="5" t="s">
        <v>443</v>
      </c>
      <c r="U5" s="4">
        <v>1</v>
      </c>
      <c r="V5" s="17" t="s">
        <v>775</v>
      </c>
      <c r="W5" s="4">
        <v>0.12</v>
      </c>
      <c r="X5" s="4">
        <v>0.02</v>
      </c>
      <c r="Y5" s="4">
        <v>0.88</v>
      </c>
      <c r="Z5" s="26">
        <v>0.4</v>
      </c>
    </row>
    <row r="6" spans="1:27" ht="48">
      <c r="A6" s="18" t="s">
        <v>476</v>
      </c>
      <c r="B6" s="17" t="s">
        <v>263</v>
      </c>
      <c r="C6" s="17" t="s">
        <v>151</v>
      </c>
      <c r="D6" s="5" t="s">
        <v>0</v>
      </c>
      <c r="E6" s="17" t="s">
        <v>30</v>
      </c>
      <c r="F6" s="17" t="s">
        <v>30</v>
      </c>
      <c r="G6" s="17">
        <v>0.8</v>
      </c>
      <c r="L6" s="16">
        <v>13</v>
      </c>
      <c r="M6" s="29">
        <v>1.7790273640275014</v>
      </c>
      <c r="N6" s="31">
        <v>16991.35747001816</v>
      </c>
      <c r="O6" s="5">
        <v>1</v>
      </c>
      <c r="P6" s="5">
        <v>1</v>
      </c>
      <c r="R6" s="5" t="s">
        <v>477</v>
      </c>
      <c r="S6" s="6">
        <v>8</v>
      </c>
      <c r="T6" s="5" t="s">
        <v>443</v>
      </c>
      <c r="U6" s="4">
        <v>1</v>
      </c>
      <c r="Z6" s="26">
        <v>0.4</v>
      </c>
    </row>
    <row r="7" spans="1:27" ht="80">
      <c r="A7" s="4" t="s">
        <v>612</v>
      </c>
      <c r="B7" s="5" t="s">
        <v>100</v>
      </c>
      <c r="C7" s="5" t="s">
        <v>100</v>
      </c>
      <c r="D7" s="5" t="s">
        <v>1</v>
      </c>
      <c r="E7" s="5" t="s">
        <v>829</v>
      </c>
      <c r="F7" s="17" t="s">
        <v>829</v>
      </c>
      <c r="G7" s="5">
        <v>0.2</v>
      </c>
      <c r="H7" s="5"/>
      <c r="I7" s="5"/>
      <c r="J7" s="5"/>
      <c r="K7" s="5"/>
      <c r="L7" s="5">
        <v>13</v>
      </c>
      <c r="M7" s="29">
        <v>1.2581054540850005</v>
      </c>
      <c r="N7" s="31">
        <v>36317.200212839991</v>
      </c>
      <c r="O7" s="5">
        <v>5</v>
      </c>
      <c r="P7" s="5">
        <v>3</v>
      </c>
      <c r="Q7" s="4">
        <v>1</v>
      </c>
      <c r="R7" s="5" t="s">
        <v>431</v>
      </c>
      <c r="S7" s="6">
        <v>11</v>
      </c>
      <c r="T7" s="5" t="s">
        <v>433</v>
      </c>
      <c r="U7" s="5">
        <v>1</v>
      </c>
      <c r="V7" s="5" t="s">
        <v>781</v>
      </c>
      <c r="W7" s="4">
        <v>0.66</v>
      </c>
      <c r="X7" s="4">
        <v>0.48</v>
      </c>
      <c r="Y7" s="4">
        <v>0.89</v>
      </c>
      <c r="Z7" s="26">
        <f>0.1*(0.88)</f>
        <v>8.8000000000000009E-2</v>
      </c>
    </row>
    <row r="8" spans="1:27" ht="80">
      <c r="A8" s="18" t="s">
        <v>587</v>
      </c>
      <c r="B8" s="17" t="s">
        <v>312</v>
      </c>
      <c r="C8" s="17" t="s">
        <v>181</v>
      </c>
      <c r="D8" s="5" t="s">
        <v>0</v>
      </c>
      <c r="E8" s="17" t="s">
        <v>744</v>
      </c>
      <c r="F8" s="17" t="s">
        <v>744</v>
      </c>
      <c r="G8" s="5">
        <v>0.1</v>
      </c>
      <c r="H8" s="5"/>
      <c r="I8" s="5"/>
      <c r="J8" s="5"/>
      <c r="K8" s="5"/>
      <c r="L8" s="16">
        <v>14</v>
      </c>
      <c r="M8" s="29">
        <v>48.128585671910834</v>
      </c>
      <c r="N8" s="9">
        <v>19671.661741774085</v>
      </c>
      <c r="O8" s="1">
        <v>4</v>
      </c>
      <c r="P8" s="1">
        <v>3</v>
      </c>
      <c r="Q8">
        <v>1</v>
      </c>
      <c r="R8" s="5" t="s">
        <v>461</v>
      </c>
      <c r="S8" s="6">
        <v>1</v>
      </c>
      <c r="T8" s="5" t="s">
        <v>433</v>
      </c>
      <c r="U8" s="4">
        <v>1</v>
      </c>
      <c r="V8" s="5" t="s">
        <v>770</v>
      </c>
      <c r="W8" s="4">
        <v>0.8</v>
      </c>
      <c r="X8" s="4">
        <v>0.5</v>
      </c>
      <c r="Y8" s="4">
        <v>0.9</v>
      </c>
      <c r="Z8" s="26">
        <f>0.068635045612025*(0.88)</f>
        <v>6.0398840138582002E-2</v>
      </c>
    </row>
    <row r="9" spans="1:27" ht="64">
      <c r="A9" s="18" t="s">
        <v>494</v>
      </c>
      <c r="B9" s="17" t="s">
        <v>372</v>
      </c>
      <c r="C9" s="17" t="s">
        <v>135</v>
      </c>
      <c r="D9" s="5" t="s">
        <v>31</v>
      </c>
      <c r="E9" s="17" t="s">
        <v>85</v>
      </c>
      <c r="F9" s="17" t="s">
        <v>85</v>
      </c>
      <c r="G9" s="17">
        <v>0.2</v>
      </c>
      <c r="L9" s="16">
        <v>20</v>
      </c>
      <c r="M9" s="29">
        <v>1.2581054540850005</v>
      </c>
      <c r="N9" s="31">
        <v>165691.53429320332</v>
      </c>
      <c r="O9" s="5">
        <v>3</v>
      </c>
      <c r="P9" s="5">
        <v>1</v>
      </c>
      <c r="Q9" s="4">
        <v>1</v>
      </c>
      <c r="R9" s="5" t="s">
        <v>431</v>
      </c>
      <c r="S9" s="6">
        <v>11</v>
      </c>
      <c r="T9" s="5" t="s">
        <v>451</v>
      </c>
      <c r="U9" s="4">
        <v>1</v>
      </c>
      <c r="V9" s="17" t="s">
        <v>797</v>
      </c>
      <c r="W9" s="4">
        <v>3.7000000000000002E-3</v>
      </c>
      <c r="X9" s="4">
        <v>2.8E-3</v>
      </c>
      <c r="Y9" s="4">
        <v>4.4999999999999997E-3</v>
      </c>
      <c r="Z9" s="26">
        <f>0.1*(0.88)</f>
        <v>8.8000000000000009E-2</v>
      </c>
    </row>
    <row r="10" spans="1:27" ht="48">
      <c r="A10" s="18" t="s">
        <v>502</v>
      </c>
      <c r="B10" s="17" t="s">
        <v>2</v>
      </c>
      <c r="C10" s="17" t="s">
        <v>2</v>
      </c>
      <c r="D10" s="5" t="s">
        <v>31</v>
      </c>
      <c r="E10" s="17" t="s">
        <v>758</v>
      </c>
      <c r="F10" s="17" t="s">
        <v>758</v>
      </c>
      <c r="G10" s="17">
        <v>0.4</v>
      </c>
      <c r="L10" s="16">
        <v>22</v>
      </c>
      <c r="M10" s="29">
        <v>1.6708715227994324</v>
      </c>
      <c r="N10" s="11">
        <v>3963955.5316596483</v>
      </c>
      <c r="O10" s="5">
        <v>3</v>
      </c>
      <c r="P10" s="5">
        <v>1</v>
      </c>
      <c r="Q10" s="4">
        <v>1</v>
      </c>
      <c r="R10" s="7" t="s">
        <v>447</v>
      </c>
      <c r="S10" s="8">
        <v>18</v>
      </c>
      <c r="T10" s="7" t="s">
        <v>433</v>
      </c>
      <c r="U10" s="4">
        <v>1</v>
      </c>
      <c r="Z10" s="26">
        <f>0.306720966623047*(0.88)</f>
        <v>0.26991445062828134</v>
      </c>
    </row>
    <row r="11" spans="1:27" ht="48">
      <c r="A11" s="4" t="s">
        <v>706</v>
      </c>
      <c r="B11" s="5" t="s">
        <v>383</v>
      </c>
      <c r="C11" s="5" t="s">
        <v>54</v>
      </c>
      <c r="D11" s="5" t="s">
        <v>1</v>
      </c>
      <c r="E11" s="4" t="s">
        <v>824</v>
      </c>
      <c r="F11" s="17" t="s">
        <v>824</v>
      </c>
      <c r="G11" s="17">
        <v>0.85</v>
      </c>
      <c r="H11" s="4"/>
      <c r="I11" s="4"/>
      <c r="J11" s="4"/>
      <c r="K11" s="4"/>
      <c r="L11" s="5">
        <v>23</v>
      </c>
      <c r="M11" s="29">
        <v>1.1496900605005875</v>
      </c>
      <c r="N11" s="31">
        <v>61220.64852115501</v>
      </c>
      <c r="O11" s="5">
        <v>4</v>
      </c>
      <c r="P11" s="5">
        <v>1</v>
      </c>
      <c r="Q11" s="4">
        <v>1</v>
      </c>
      <c r="R11" s="5" t="s">
        <v>513</v>
      </c>
      <c r="S11" s="6">
        <v>14</v>
      </c>
      <c r="T11" s="5" t="s">
        <v>451</v>
      </c>
      <c r="U11" s="5">
        <v>1</v>
      </c>
      <c r="V11" s="5" t="s">
        <v>782</v>
      </c>
      <c r="W11" s="4">
        <v>4.8</v>
      </c>
      <c r="X11" s="4">
        <v>0.7</v>
      </c>
      <c r="Y11" s="4">
        <v>8.9</v>
      </c>
      <c r="Z11" s="26">
        <f>0.924908816360775*(0.88)</f>
        <v>0.8139197583974821</v>
      </c>
    </row>
    <row r="12" spans="1:27" ht="64">
      <c r="A12" s="18" t="s">
        <v>701</v>
      </c>
      <c r="B12" s="17" t="s">
        <v>394</v>
      </c>
      <c r="C12" s="17" t="s">
        <v>208</v>
      </c>
      <c r="D12" s="5" t="s">
        <v>31</v>
      </c>
      <c r="E12" s="17" t="s">
        <v>88</v>
      </c>
      <c r="F12" s="17" t="s">
        <v>88</v>
      </c>
      <c r="G12" s="17">
        <v>0.05</v>
      </c>
      <c r="H12" s="17" t="s">
        <v>1099</v>
      </c>
      <c r="I12" s="17">
        <v>0.03</v>
      </c>
      <c r="J12" s="17" t="s">
        <v>1142</v>
      </c>
      <c r="K12" s="17">
        <v>0.02</v>
      </c>
      <c r="L12" s="16">
        <v>28</v>
      </c>
      <c r="M12" s="29">
        <v>4.819458994482523</v>
      </c>
      <c r="N12" s="11">
        <v>1623532.4666199405</v>
      </c>
      <c r="O12" s="5">
        <v>3</v>
      </c>
      <c r="P12" s="5">
        <v>1</v>
      </c>
      <c r="Q12" s="4">
        <v>1</v>
      </c>
      <c r="R12" s="5" t="s">
        <v>484</v>
      </c>
      <c r="S12" s="6">
        <v>6</v>
      </c>
      <c r="T12" s="5" t="s">
        <v>451</v>
      </c>
      <c r="U12" s="4">
        <v>1</v>
      </c>
      <c r="Z12" s="26">
        <f>0.104473979264733*(0.88)</f>
        <v>9.1937101752965031E-2</v>
      </c>
    </row>
    <row r="13" spans="1:27" ht="48">
      <c r="A13" s="18" t="s">
        <v>498</v>
      </c>
      <c r="B13" s="17" t="s">
        <v>307</v>
      </c>
      <c r="C13" s="17" t="s">
        <v>148</v>
      </c>
      <c r="D13" s="5" t="s">
        <v>0</v>
      </c>
      <c r="E13" s="17" t="s">
        <v>30</v>
      </c>
      <c r="F13" s="17" t="s">
        <v>30</v>
      </c>
      <c r="G13" s="17">
        <v>0.4</v>
      </c>
      <c r="L13" s="16">
        <v>31</v>
      </c>
      <c r="M13" s="29">
        <v>1.344397990175465</v>
      </c>
      <c r="N13" s="31">
        <v>8235.4710468978228</v>
      </c>
      <c r="O13" s="5">
        <v>3</v>
      </c>
      <c r="P13" s="5">
        <v>1</v>
      </c>
      <c r="Q13" s="4">
        <v>1</v>
      </c>
      <c r="R13" s="5" t="s">
        <v>477</v>
      </c>
      <c r="S13" s="6">
        <v>8</v>
      </c>
      <c r="T13" s="5" t="s">
        <v>433</v>
      </c>
      <c r="U13" s="4">
        <v>1</v>
      </c>
      <c r="V13" s="5" t="s">
        <v>770</v>
      </c>
      <c r="W13" s="4">
        <v>0.57999999999999996</v>
      </c>
      <c r="X13" s="4">
        <v>0.44</v>
      </c>
      <c r="Y13" s="4">
        <v>0.77</v>
      </c>
      <c r="Z13" s="26">
        <f>0.291536181212621*(0.88)</f>
        <v>0.25655183946710647</v>
      </c>
    </row>
    <row r="14" spans="1:27" ht="32">
      <c r="A14" s="18" t="s">
        <v>722</v>
      </c>
      <c r="B14" s="17" t="s">
        <v>272</v>
      </c>
      <c r="C14" s="17" t="s">
        <v>117</v>
      </c>
      <c r="D14" s="5" t="s">
        <v>31</v>
      </c>
      <c r="E14" s="17" t="s">
        <v>748</v>
      </c>
      <c r="F14" s="17" t="s">
        <v>748</v>
      </c>
      <c r="G14" s="17">
        <v>0.4</v>
      </c>
      <c r="L14" s="76">
        <f>L17</f>
        <v>103</v>
      </c>
      <c r="M14" s="29">
        <v>19.359239841281244</v>
      </c>
      <c r="N14" s="11">
        <v>116615.41965520391</v>
      </c>
      <c r="O14" s="5">
        <v>3</v>
      </c>
      <c r="P14" s="5">
        <v>1</v>
      </c>
      <c r="Q14" s="4">
        <v>1</v>
      </c>
      <c r="R14" s="5" t="s">
        <v>461</v>
      </c>
      <c r="S14" s="6">
        <v>1</v>
      </c>
      <c r="T14" s="5" t="s">
        <v>433</v>
      </c>
      <c r="U14" s="4">
        <v>1</v>
      </c>
      <c r="V14" s="36" t="s">
        <v>770</v>
      </c>
      <c r="W14" s="4">
        <v>0.57999999999999996</v>
      </c>
      <c r="X14" s="4">
        <v>0.41</v>
      </c>
      <c r="Y14" s="4">
        <v>0.82</v>
      </c>
      <c r="Z14" s="26">
        <f>0.253110379496502*(0.88)</f>
        <v>0.22273713395692177</v>
      </c>
    </row>
    <row r="15" spans="1:27" ht="64">
      <c r="A15" s="18" t="s">
        <v>592</v>
      </c>
      <c r="B15" s="17" t="s">
        <v>395</v>
      </c>
      <c r="C15" s="17" t="s">
        <v>209</v>
      </c>
      <c r="D15" s="5" t="s">
        <v>31</v>
      </c>
      <c r="E15" s="17" t="s">
        <v>1099</v>
      </c>
      <c r="F15" s="17" t="s">
        <v>1099</v>
      </c>
      <c r="G15" s="17">
        <v>0.2</v>
      </c>
      <c r="H15" s="17" t="s">
        <v>1143</v>
      </c>
      <c r="I15" s="17">
        <v>0.6</v>
      </c>
      <c r="L15" s="76">
        <f>L24</f>
        <v>576</v>
      </c>
      <c r="M15" s="29">
        <v>7.4900031183195228</v>
      </c>
      <c r="N15" s="11">
        <v>17032516.326998692</v>
      </c>
      <c r="O15" s="5">
        <v>3</v>
      </c>
      <c r="P15" s="5">
        <v>1</v>
      </c>
      <c r="Q15" s="4">
        <v>1</v>
      </c>
      <c r="R15" s="5" t="s">
        <v>469</v>
      </c>
      <c r="S15" s="6" t="s">
        <v>470</v>
      </c>
      <c r="T15" s="5" t="s">
        <v>433</v>
      </c>
      <c r="U15" s="4">
        <v>1</v>
      </c>
      <c r="V15" s="17" t="s">
        <v>791</v>
      </c>
      <c r="W15" s="4">
        <v>0.5</v>
      </c>
      <c r="X15" s="4">
        <v>0.3</v>
      </c>
      <c r="Y15" s="4">
        <v>0.9</v>
      </c>
      <c r="Z15" s="26">
        <f>0.708210560611961*(0.88)</f>
        <v>0.62322529333852561</v>
      </c>
    </row>
    <row r="16" spans="1:27" ht="32">
      <c r="A16" s="4" t="s">
        <v>511</v>
      </c>
      <c r="B16" s="5" t="s">
        <v>302</v>
      </c>
      <c r="C16" s="5" t="s">
        <v>184</v>
      </c>
      <c r="D16" s="5" t="s">
        <v>0</v>
      </c>
      <c r="E16" s="5" t="s">
        <v>765</v>
      </c>
      <c r="F16" s="17" t="s">
        <v>765</v>
      </c>
      <c r="G16" s="5">
        <v>0.3</v>
      </c>
      <c r="H16" s="5"/>
      <c r="I16" s="5"/>
      <c r="J16" s="5"/>
      <c r="K16" s="5"/>
      <c r="L16" s="5">
        <v>95</v>
      </c>
      <c r="M16" s="29">
        <v>216.54621737662529</v>
      </c>
      <c r="N16" s="31">
        <v>16215973.791515743</v>
      </c>
      <c r="O16" s="5">
        <v>3</v>
      </c>
      <c r="P16" s="5">
        <v>1</v>
      </c>
      <c r="Q16" s="4">
        <v>1</v>
      </c>
      <c r="R16" s="5" t="s">
        <v>438</v>
      </c>
      <c r="S16" s="6">
        <v>2</v>
      </c>
      <c r="T16" s="5" t="s">
        <v>443</v>
      </c>
      <c r="U16" s="5">
        <v>1</v>
      </c>
      <c r="V16" s="5" t="s">
        <v>816</v>
      </c>
      <c r="W16" s="4">
        <v>0.7</v>
      </c>
      <c r="X16" s="4">
        <v>0.57999999999999996</v>
      </c>
      <c r="Y16" s="4">
        <v>0.85</v>
      </c>
      <c r="Z16" s="26">
        <f>0.14396030496079*(0.88)</f>
        <v>0.1266850683654952</v>
      </c>
    </row>
    <row r="17" spans="1:26" ht="32">
      <c r="A17" s="4" t="s">
        <v>631</v>
      </c>
      <c r="B17" s="5" t="s">
        <v>170</v>
      </c>
      <c r="C17" s="5" t="s">
        <v>170</v>
      </c>
      <c r="D17" s="5" t="s">
        <v>0</v>
      </c>
      <c r="E17" s="5" t="s">
        <v>748</v>
      </c>
      <c r="F17" s="17" t="s">
        <v>748</v>
      </c>
      <c r="G17" s="5">
        <v>0.7</v>
      </c>
      <c r="H17" s="5"/>
      <c r="I17" s="5"/>
      <c r="J17" s="5"/>
      <c r="K17" s="5"/>
      <c r="L17" s="5">
        <v>103</v>
      </c>
      <c r="M17" s="29">
        <v>1.2581054540850005</v>
      </c>
      <c r="N17" s="9">
        <v>17964.950282769361</v>
      </c>
      <c r="O17" s="5">
        <v>2</v>
      </c>
      <c r="P17" s="5">
        <v>2</v>
      </c>
      <c r="Q17" s="4">
        <v>1</v>
      </c>
      <c r="R17" s="5" t="s">
        <v>438</v>
      </c>
      <c r="S17" s="6">
        <v>2</v>
      </c>
      <c r="T17" s="5" t="s">
        <v>443</v>
      </c>
      <c r="U17" s="5">
        <v>1</v>
      </c>
      <c r="V17" s="5" t="s">
        <v>816</v>
      </c>
      <c r="W17" s="4">
        <v>0.57999999999999996</v>
      </c>
      <c r="X17" s="4">
        <v>0.18</v>
      </c>
      <c r="Y17" s="4">
        <v>1.9</v>
      </c>
      <c r="Z17" s="26">
        <f>0.6*(0.88)</f>
        <v>0.52800000000000002</v>
      </c>
    </row>
    <row r="18" spans="1:26" ht="32">
      <c r="A18" s="18" t="s">
        <v>515</v>
      </c>
      <c r="B18" s="17" t="s">
        <v>408</v>
      </c>
      <c r="C18" s="17" t="s">
        <v>213</v>
      </c>
      <c r="D18" s="5" t="s">
        <v>31</v>
      </c>
      <c r="E18" s="18" t="s">
        <v>86</v>
      </c>
      <c r="F18" s="17" t="s">
        <v>86</v>
      </c>
      <c r="G18" s="18">
        <v>0.4</v>
      </c>
      <c r="H18" s="18"/>
      <c r="I18" s="18"/>
      <c r="J18" s="18"/>
      <c r="K18" s="18"/>
      <c r="L18" s="16">
        <v>115</v>
      </c>
      <c r="M18" s="29">
        <v>21.299447386134773</v>
      </c>
      <c r="N18" s="11">
        <v>325775.66857809632</v>
      </c>
      <c r="O18" s="5">
        <v>4</v>
      </c>
      <c r="P18" s="5">
        <v>3</v>
      </c>
      <c r="Q18" s="4">
        <v>1</v>
      </c>
      <c r="R18" s="5" t="s">
        <v>460</v>
      </c>
      <c r="S18" s="6">
        <v>13</v>
      </c>
      <c r="T18" s="5" t="s">
        <v>451</v>
      </c>
      <c r="U18" s="4">
        <v>1</v>
      </c>
      <c r="V18" s="17" t="s">
        <v>801</v>
      </c>
      <c r="W18" s="4">
        <v>0.51</v>
      </c>
      <c r="X18" s="4">
        <v>0.32</v>
      </c>
      <c r="Y18" s="4">
        <v>0.82</v>
      </c>
      <c r="Z18" s="26">
        <f>0.212487306783715*(0.88)</f>
        <v>0.1869888299696692</v>
      </c>
    </row>
    <row r="19" spans="1:26" ht="48">
      <c r="A19" s="18" t="s">
        <v>576</v>
      </c>
      <c r="B19" s="17" t="s">
        <v>318</v>
      </c>
      <c r="C19" s="17" t="s">
        <v>198</v>
      </c>
      <c r="D19" s="5" t="s">
        <v>0</v>
      </c>
      <c r="E19" s="18" t="s">
        <v>1144</v>
      </c>
      <c r="F19" s="17" t="s">
        <v>1144</v>
      </c>
      <c r="G19" s="17">
        <v>0.8</v>
      </c>
      <c r="H19" s="17" t="s">
        <v>1053</v>
      </c>
      <c r="I19" s="17">
        <v>0.5</v>
      </c>
      <c r="L19" s="16">
        <v>285</v>
      </c>
      <c r="M19" s="29">
        <v>3.5904528499278272</v>
      </c>
      <c r="N19" s="11">
        <v>12089034.749908645</v>
      </c>
      <c r="O19" s="5">
        <v>2</v>
      </c>
      <c r="P19" s="5">
        <v>1</v>
      </c>
      <c r="Q19" s="4">
        <v>1</v>
      </c>
      <c r="R19" s="7" t="s">
        <v>577</v>
      </c>
      <c r="S19" s="8" t="s">
        <v>578</v>
      </c>
      <c r="T19" s="7" t="s">
        <v>451</v>
      </c>
      <c r="U19" s="4">
        <v>1</v>
      </c>
      <c r="V19" s="5" t="s">
        <v>770</v>
      </c>
      <c r="W19" s="4">
        <v>0.81</v>
      </c>
      <c r="X19" s="4">
        <v>0.51</v>
      </c>
      <c r="Y19" s="4">
        <v>1.3</v>
      </c>
      <c r="Z19" s="26">
        <f>0.8*(0.88)</f>
        <v>0.70400000000000007</v>
      </c>
    </row>
    <row r="20" spans="1:26" ht="64">
      <c r="A20" s="4" t="s">
        <v>554</v>
      </c>
      <c r="B20" s="5" t="s">
        <v>423</v>
      </c>
      <c r="C20" s="5" t="s">
        <v>131</v>
      </c>
      <c r="D20" s="5" t="s">
        <v>116</v>
      </c>
      <c r="E20" s="5" t="s">
        <v>976</v>
      </c>
      <c r="F20" s="17" t="s">
        <v>976</v>
      </c>
      <c r="G20" s="5">
        <v>0.05</v>
      </c>
      <c r="H20" s="5" t="s">
        <v>1145</v>
      </c>
      <c r="I20" s="5">
        <v>0.05</v>
      </c>
      <c r="J20" s="5" t="s">
        <v>977</v>
      </c>
      <c r="K20" s="5">
        <v>0.05</v>
      </c>
      <c r="L20" s="16">
        <v>380</v>
      </c>
      <c r="M20" s="29">
        <v>1.2581054540850005</v>
      </c>
      <c r="N20" s="31">
        <v>87661.259262234264</v>
      </c>
      <c r="O20" s="5">
        <v>2</v>
      </c>
      <c r="P20" s="5">
        <v>1</v>
      </c>
      <c r="Q20" s="4">
        <v>1</v>
      </c>
      <c r="R20" s="5" t="s">
        <v>431</v>
      </c>
      <c r="S20" s="6">
        <v>11</v>
      </c>
      <c r="T20" s="5" t="s">
        <v>451</v>
      </c>
      <c r="U20" s="5">
        <v>1</v>
      </c>
      <c r="V20" s="5" t="s">
        <v>798</v>
      </c>
      <c r="W20" s="4">
        <v>0.6</v>
      </c>
      <c r="X20" s="4">
        <v>0.44</v>
      </c>
      <c r="Y20" s="4">
        <v>0.81</v>
      </c>
      <c r="Z20" s="26">
        <f>0.1*(0.88)</f>
        <v>8.8000000000000009E-2</v>
      </c>
    </row>
    <row r="21" spans="1:26" ht="32">
      <c r="A21" s="4" t="s">
        <v>647</v>
      </c>
      <c r="B21" s="5" t="s">
        <v>366</v>
      </c>
      <c r="C21" s="5" t="s">
        <v>77</v>
      </c>
      <c r="D21" s="5" t="s">
        <v>31</v>
      </c>
      <c r="E21" s="5" t="s">
        <v>907</v>
      </c>
      <c r="F21" s="17" t="s">
        <v>907</v>
      </c>
      <c r="G21" s="5">
        <v>0.2</v>
      </c>
      <c r="H21" s="5" t="s">
        <v>853</v>
      </c>
      <c r="I21" s="5">
        <v>0.2</v>
      </c>
      <c r="K21" s="5"/>
      <c r="L21" s="5">
        <v>437</v>
      </c>
      <c r="M21" s="29">
        <v>21.299447386134773</v>
      </c>
      <c r="N21" s="31">
        <v>10246902.750900846</v>
      </c>
      <c r="O21" s="5">
        <v>3</v>
      </c>
      <c r="P21" s="5">
        <v>1</v>
      </c>
      <c r="Q21" s="4">
        <v>1</v>
      </c>
      <c r="R21" s="5" t="s">
        <v>460</v>
      </c>
      <c r="S21" s="6">
        <v>13</v>
      </c>
      <c r="T21" s="5" t="s">
        <v>451</v>
      </c>
      <c r="U21" s="5">
        <v>1</v>
      </c>
      <c r="V21" s="5" t="s">
        <v>800</v>
      </c>
      <c r="W21" s="4">
        <v>1.49</v>
      </c>
      <c r="X21" s="4">
        <v>1.29</v>
      </c>
      <c r="Y21" s="4">
        <v>1.72</v>
      </c>
      <c r="Z21" s="26">
        <f>0.212487306783715*(0.88)</f>
        <v>0.1869888299696692</v>
      </c>
    </row>
    <row r="22" spans="1:26" ht="48">
      <c r="A22" s="4" t="s">
        <v>615</v>
      </c>
      <c r="B22" s="5" t="s">
        <v>415</v>
      </c>
      <c r="C22" s="5" t="s">
        <v>166</v>
      </c>
      <c r="D22" s="5" t="s">
        <v>1</v>
      </c>
      <c r="E22" s="4" t="s">
        <v>825</v>
      </c>
      <c r="F22" s="17" t="s">
        <v>825</v>
      </c>
      <c r="G22" s="4">
        <v>0.85</v>
      </c>
      <c r="H22" s="4"/>
      <c r="I22" s="4"/>
      <c r="J22" s="4"/>
      <c r="K22" s="4"/>
      <c r="L22" s="5">
        <v>440.3</v>
      </c>
      <c r="M22" s="29">
        <v>1.1496900605005875</v>
      </c>
      <c r="N22" s="11">
        <v>864625.4042493247</v>
      </c>
      <c r="O22" s="5">
        <v>5</v>
      </c>
      <c r="P22" s="5">
        <v>2</v>
      </c>
      <c r="Q22" s="4">
        <v>1</v>
      </c>
      <c r="R22" s="5" t="s">
        <v>447</v>
      </c>
      <c r="S22" s="6">
        <v>18</v>
      </c>
      <c r="T22" s="5" t="s">
        <v>433</v>
      </c>
      <c r="U22" s="31">
        <v>1</v>
      </c>
      <c r="V22" s="5" t="s">
        <v>817</v>
      </c>
      <c r="W22" s="4">
        <v>0.96199999999999997</v>
      </c>
      <c r="X22" s="4">
        <v>0.80400000000000005</v>
      </c>
      <c r="Y22" s="4">
        <v>0.999</v>
      </c>
      <c r="Z22" s="26">
        <f>0.924908816360775*(0.88)</f>
        <v>0.8139197583974821</v>
      </c>
    </row>
    <row r="23" spans="1:26" ht="48">
      <c r="A23" s="4" t="s">
        <v>646</v>
      </c>
      <c r="B23" s="5" t="s">
        <v>369</v>
      </c>
      <c r="C23" s="5" t="s">
        <v>163</v>
      </c>
      <c r="D23" s="5" t="s">
        <v>31</v>
      </c>
      <c r="E23" s="5" t="s">
        <v>907</v>
      </c>
      <c r="F23" s="17" t="s">
        <v>907</v>
      </c>
      <c r="G23" s="5">
        <v>0.05</v>
      </c>
      <c r="H23" s="5" t="s">
        <v>853</v>
      </c>
      <c r="I23" s="5">
        <v>0.2</v>
      </c>
      <c r="K23" s="5"/>
      <c r="L23" s="16">
        <v>566</v>
      </c>
      <c r="M23" s="29">
        <v>1.2581054540850005</v>
      </c>
      <c r="N23" s="31">
        <v>284844.82375269063</v>
      </c>
      <c r="O23" s="5"/>
      <c r="P23" s="5"/>
      <c r="R23" s="5" t="s">
        <v>523</v>
      </c>
      <c r="S23" s="6">
        <v>20</v>
      </c>
      <c r="T23" s="5" t="s">
        <v>451</v>
      </c>
      <c r="U23" s="4">
        <v>1</v>
      </c>
      <c r="V23" s="5" t="s">
        <v>804</v>
      </c>
      <c r="W23" s="4">
        <v>-0.25</v>
      </c>
      <c r="X23" s="4">
        <v>-0.5</v>
      </c>
      <c r="Y23" s="4">
        <v>0</v>
      </c>
      <c r="Z23" s="26">
        <f>0.1*(0.88)</f>
        <v>8.8000000000000009E-2</v>
      </c>
    </row>
    <row r="24" spans="1:26" ht="64">
      <c r="A24" s="4" t="s">
        <v>440</v>
      </c>
      <c r="B24" s="5" t="s">
        <v>399</v>
      </c>
      <c r="C24" s="5" t="s">
        <v>141</v>
      </c>
      <c r="D24" s="5" t="s">
        <v>0</v>
      </c>
      <c r="E24" s="5" t="s">
        <v>761</v>
      </c>
      <c r="F24" s="17" t="s">
        <v>1099</v>
      </c>
      <c r="G24" s="5">
        <v>0.3</v>
      </c>
      <c r="H24" s="5" t="s">
        <v>1094</v>
      </c>
      <c r="I24" s="5">
        <v>0.05</v>
      </c>
      <c r="K24" s="5"/>
      <c r="L24" s="16">
        <v>576</v>
      </c>
      <c r="M24" s="29">
        <v>1.6278196387318138</v>
      </c>
      <c r="N24" s="31">
        <v>2087282.1552937152</v>
      </c>
      <c r="O24" s="1"/>
      <c r="P24" s="1"/>
      <c r="Q24"/>
      <c r="R24" s="7" t="s">
        <v>441</v>
      </c>
      <c r="S24" s="8" t="s">
        <v>442</v>
      </c>
      <c r="T24" s="7" t="s">
        <v>443</v>
      </c>
      <c r="U24" s="4">
        <v>1</v>
      </c>
      <c r="V24" s="5" t="s">
        <v>773</v>
      </c>
      <c r="W24" s="4" t="s">
        <v>774</v>
      </c>
      <c r="X24" s="4">
        <v>1.18</v>
      </c>
      <c r="Y24" s="4">
        <v>2.59</v>
      </c>
      <c r="Z24" s="26">
        <f>0.322446666744185*(0.88)</f>
        <v>0.28375306673488276</v>
      </c>
    </row>
    <row r="25" spans="1:26" ht="80">
      <c r="A25" s="18" t="s">
        <v>696</v>
      </c>
      <c r="B25" s="17" t="s">
        <v>292</v>
      </c>
      <c r="C25" s="17" t="s">
        <v>176</v>
      </c>
      <c r="D25" s="5" t="s">
        <v>1</v>
      </c>
      <c r="E25" s="20" t="s">
        <v>90</v>
      </c>
      <c r="F25" s="20" t="s">
        <v>90</v>
      </c>
      <c r="G25" s="5">
        <v>0.2</v>
      </c>
      <c r="H25" s="5"/>
      <c r="I25" s="5"/>
      <c r="K25" s="5"/>
      <c r="L25" s="16">
        <v>624</v>
      </c>
      <c r="M25" s="29">
        <v>0.92177949382319446</v>
      </c>
      <c r="N25" s="11">
        <v>168.48926117059352</v>
      </c>
      <c r="O25" s="5"/>
      <c r="P25" s="5"/>
      <c r="Q25" s="4">
        <v>1</v>
      </c>
      <c r="R25" s="5" t="s">
        <v>462</v>
      </c>
      <c r="S25" s="6" t="s">
        <v>458</v>
      </c>
      <c r="T25" s="5" t="s">
        <v>433</v>
      </c>
      <c r="U25" s="4">
        <v>1</v>
      </c>
      <c r="V25" s="20"/>
      <c r="Z25" s="26">
        <f>0.1*(0.88)</f>
        <v>8.8000000000000009E-2</v>
      </c>
    </row>
    <row r="26" spans="1:26" ht="48">
      <c r="A26" s="4" t="s">
        <v>542</v>
      </c>
      <c r="B26" s="5" t="s">
        <v>259</v>
      </c>
      <c r="C26" s="5" t="s">
        <v>64</v>
      </c>
      <c r="D26" s="5" t="s">
        <v>0</v>
      </c>
      <c r="E26" s="5" t="s">
        <v>88</v>
      </c>
      <c r="F26" s="17" t="s">
        <v>88</v>
      </c>
      <c r="G26" s="5">
        <v>0.6</v>
      </c>
      <c r="H26" s="5"/>
      <c r="I26" s="5"/>
      <c r="J26" s="5"/>
      <c r="K26" s="5"/>
      <c r="L26" s="5">
        <v>1186</v>
      </c>
      <c r="M26" s="29">
        <v>0.248529494536535</v>
      </c>
      <c r="N26" s="31">
        <v>357.06339814683844</v>
      </c>
      <c r="O26" s="5">
        <v>2</v>
      </c>
      <c r="P26" s="5">
        <v>1</v>
      </c>
      <c r="R26" s="5" t="s">
        <v>543</v>
      </c>
      <c r="S26" s="6" t="s">
        <v>544</v>
      </c>
      <c r="T26" s="5" t="s">
        <v>443</v>
      </c>
      <c r="U26" s="4">
        <v>1</v>
      </c>
      <c r="V26" s="5"/>
      <c r="Z26" s="26">
        <v>0.4</v>
      </c>
    </row>
    <row r="27" spans="1:26" ht="80">
      <c r="A27" s="18" t="s">
        <v>702</v>
      </c>
      <c r="B27" s="17" t="s">
        <v>322</v>
      </c>
      <c r="C27" s="17" t="s">
        <v>121</v>
      </c>
      <c r="D27" s="5" t="s">
        <v>0</v>
      </c>
      <c r="E27" s="5" t="s">
        <v>96</v>
      </c>
      <c r="F27" s="17" t="s">
        <v>96</v>
      </c>
      <c r="G27" s="5">
        <v>0.8</v>
      </c>
      <c r="H27" s="5"/>
      <c r="I27" s="5"/>
      <c r="J27" s="5"/>
      <c r="K27" s="5"/>
      <c r="L27" s="16">
        <v>1830</v>
      </c>
      <c r="M27" s="29">
        <v>0.26010121047192036</v>
      </c>
      <c r="N27" s="11">
        <v>39.434643534151753</v>
      </c>
      <c r="O27" s="5">
        <v>1</v>
      </c>
      <c r="P27" s="5">
        <v>3</v>
      </c>
      <c r="Q27" s="4">
        <v>1</v>
      </c>
      <c r="R27" s="5" t="s">
        <v>703</v>
      </c>
      <c r="S27" s="6" t="s">
        <v>704</v>
      </c>
      <c r="T27" s="5" t="s">
        <v>443</v>
      </c>
      <c r="U27" s="4">
        <v>1</v>
      </c>
      <c r="V27" s="36" t="s">
        <v>770</v>
      </c>
      <c r="W27" s="4">
        <v>0.38</v>
      </c>
      <c r="X27" s="4">
        <v>0.27</v>
      </c>
      <c r="Y27" s="4">
        <v>0.55000000000000004</v>
      </c>
      <c r="Z27" s="26">
        <f>0.8*(0.88)</f>
        <v>0.70400000000000007</v>
      </c>
    </row>
    <row r="28" spans="1:26" ht="80">
      <c r="A28" s="18" t="s">
        <v>582</v>
      </c>
      <c r="B28" s="17" t="s">
        <v>353</v>
      </c>
      <c r="C28" s="17" t="s">
        <v>220</v>
      </c>
      <c r="D28" s="5" t="s">
        <v>1</v>
      </c>
      <c r="E28" s="20" t="s">
        <v>744</v>
      </c>
      <c r="F28" s="20" t="s">
        <v>744</v>
      </c>
      <c r="G28" s="5">
        <v>0.5</v>
      </c>
      <c r="H28" s="5"/>
      <c r="I28" s="5"/>
      <c r="J28" s="5"/>
      <c r="K28" s="5"/>
      <c r="L28" s="16">
        <v>2040</v>
      </c>
      <c r="M28" s="29">
        <v>12.313176410983239</v>
      </c>
      <c r="N28" s="11">
        <v>28689.751829313835</v>
      </c>
      <c r="O28" s="5">
        <v>6</v>
      </c>
      <c r="P28" s="5">
        <v>1</v>
      </c>
      <c r="Q28" s="4">
        <v>1</v>
      </c>
      <c r="R28" s="5" t="s">
        <v>462</v>
      </c>
      <c r="S28" s="6" t="s">
        <v>458</v>
      </c>
      <c r="T28" s="5" t="s">
        <v>433</v>
      </c>
      <c r="U28" s="4">
        <v>1</v>
      </c>
      <c r="V28" s="36" t="s">
        <v>770</v>
      </c>
      <c r="W28" s="4">
        <v>0.15</v>
      </c>
      <c r="X28" s="4">
        <v>0.12</v>
      </c>
      <c r="Y28" s="4">
        <v>0.32</v>
      </c>
      <c r="Z28" s="26">
        <f>0.391259294961732*(0.88)</f>
        <v>0.34430817956632415</v>
      </c>
    </row>
    <row r="29" spans="1:26" ht="80">
      <c r="A29" s="18" t="s">
        <v>626</v>
      </c>
      <c r="B29" s="17" t="s">
        <v>275</v>
      </c>
      <c r="C29" s="17" t="s">
        <v>129</v>
      </c>
      <c r="D29" s="5" t="s">
        <v>31</v>
      </c>
      <c r="E29" s="17" t="s">
        <v>752</v>
      </c>
      <c r="F29" s="17" t="s">
        <v>964</v>
      </c>
      <c r="G29" s="18">
        <v>0.2</v>
      </c>
      <c r="H29" s="18" t="s">
        <v>881</v>
      </c>
      <c r="I29" s="18">
        <v>0.05</v>
      </c>
      <c r="J29" s="18" t="s">
        <v>760</v>
      </c>
      <c r="K29" s="18">
        <v>0.1</v>
      </c>
      <c r="L29" s="16">
        <v>4393</v>
      </c>
      <c r="M29" s="29">
        <v>0.78435308805910964</v>
      </c>
      <c r="N29" s="31">
        <v>31255.550710902706</v>
      </c>
      <c r="O29" s="5">
        <v>0</v>
      </c>
      <c r="P29" s="5">
        <v>1</v>
      </c>
      <c r="R29" s="5" t="s">
        <v>431</v>
      </c>
      <c r="S29" s="6">
        <v>11</v>
      </c>
      <c r="T29" s="5" t="s">
        <v>451</v>
      </c>
      <c r="U29" s="4">
        <v>1</v>
      </c>
      <c r="V29" s="17" t="s">
        <v>799</v>
      </c>
      <c r="W29" s="4">
        <v>7.2300000000000003E-2</v>
      </c>
      <c r="X29" s="4" t="s">
        <v>772</v>
      </c>
      <c r="Y29" s="4" t="s">
        <v>772</v>
      </c>
      <c r="Z29" s="26">
        <f>0.210614324578582*(0.88)</f>
        <v>0.18534060562915217</v>
      </c>
    </row>
    <row r="30" spans="1:26" ht="80">
      <c r="A30" s="18" t="s">
        <v>474</v>
      </c>
      <c r="B30" s="17" t="s">
        <v>396</v>
      </c>
      <c r="C30" s="17" t="s">
        <v>217</v>
      </c>
      <c r="D30" s="5" t="s">
        <v>116</v>
      </c>
      <c r="E30" s="17" t="s">
        <v>92</v>
      </c>
      <c r="F30" s="17" t="s">
        <v>92</v>
      </c>
      <c r="G30" s="17">
        <v>0.4</v>
      </c>
      <c r="L30" s="16">
        <v>5488</v>
      </c>
      <c r="M30" s="29">
        <v>19.359239841281244</v>
      </c>
      <c r="N30" s="123">
        <v>190292.44749432051</v>
      </c>
      <c r="O30" s="5">
        <v>3</v>
      </c>
      <c r="P30" s="5">
        <v>3</v>
      </c>
      <c r="Q30" s="4">
        <v>1</v>
      </c>
      <c r="R30" s="5" t="s">
        <v>461</v>
      </c>
      <c r="S30" s="6">
        <v>1</v>
      </c>
      <c r="T30" s="5" t="s">
        <v>433</v>
      </c>
      <c r="U30" s="4">
        <v>1</v>
      </c>
      <c r="Z30" s="26">
        <f>0.253110379496502*(0.88)</f>
        <v>0.22273713395692177</v>
      </c>
    </row>
    <row r="31" spans="1:26" ht="64">
      <c r="A31" s="18" t="s">
        <v>645</v>
      </c>
      <c r="B31" s="17" t="s">
        <v>340</v>
      </c>
      <c r="C31" s="17" t="s">
        <v>214</v>
      </c>
      <c r="D31" s="5" t="s">
        <v>31</v>
      </c>
      <c r="E31" s="17" t="s">
        <v>757</v>
      </c>
      <c r="F31" s="17" t="s">
        <v>853</v>
      </c>
      <c r="G31" s="17">
        <v>0.2</v>
      </c>
      <c r="H31" s="17" t="s">
        <v>860</v>
      </c>
      <c r="I31" s="17">
        <v>0.05</v>
      </c>
      <c r="J31" s="17" t="s">
        <v>896</v>
      </c>
      <c r="K31" s="17">
        <v>0.05</v>
      </c>
      <c r="L31" s="16">
        <v>11484</v>
      </c>
      <c r="M31" s="29">
        <v>21.299447386134773</v>
      </c>
      <c r="N31" s="11">
        <v>9111068.3478771001</v>
      </c>
      <c r="O31" s="5">
        <v>2</v>
      </c>
      <c r="P31" s="5">
        <v>1</v>
      </c>
      <c r="R31" s="5" t="s">
        <v>586</v>
      </c>
      <c r="S31" s="6" t="s">
        <v>585</v>
      </c>
      <c r="T31" s="5" t="s">
        <v>451</v>
      </c>
      <c r="U31" s="4">
        <v>1</v>
      </c>
      <c r="V31" s="17" t="s">
        <v>817</v>
      </c>
      <c r="W31" s="4">
        <v>0.34</v>
      </c>
      <c r="X31" s="4" t="s">
        <v>772</v>
      </c>
      <c r="Y31" s="4" t="s">
        <v>772</v>
      </c>
      <c r="Z31" s="26">
        <f>0.212487306783715*(0.88)</f>
        <v>0.1869888299696692</v>
      </c>
    </row>
  </sheetData>
  <autoFilter ref="A1:Z30" xr:uid="{00000000-0009-0000-0000-000000000000}">
    <sortState ref="A2:Z30">
      <sortCondition ref="L1:L30"/>
    </sortState>
  </autoFilter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8143-8360-0A41-AD43-6248D8E888C4}">
  <dimension ref="A1:D335"/>
  <sheetViews>
    <sheetView topLeftCell="A160" workbookViewId="0">
      <selection activeCell="A181" sqref="A181"/>
    </sheetView>
  </sheetViews>
  <sheetFormatPr baseColWidth="10" defaultRowHeight="16"/>
  <cols>
    <col min="1" max="1" width="46" customWidth="1"/>
  </cols>
  <sheetData>
    <row r="1" spans="1:4">
      <c r="A1" t="s">
        <v>833</v>
      </c>
      <c r="B1" t="s">
        <v>834</v>
      </c>
      <c r="C1" t="s">
        <v>835</v>
      </c>
      <c r="D1" t="s">
        <v>836</v>
      </c>
    </row>
    <row r="2" spans="1:4">
      <c r="A2" t="s">
        <v>837</v>
      </c>
      <c r="B2">
        <v>71538.760351200006</v>
      </c>
      <c r="C2">
        <v>0</v>
      </c>
      <c r="D2">
        <v>2793436.6702200002</v>
      </c>
    </row>
    <row r="3" spans="1:4">
      <c r="A3" t="s">
        <v>838</v>
      </c>
      <c r="B3">
        <v>335.91991891100002</v>
      </c>
      <c r="C3">
        <v>6.5741268745700001</v>
      </c>
      <c r="D3">
        <v>280.46185164799999</v>
      </c>
    </row>
    <row r="4" spans="1:4">
      <c r="A4" t="s">
        <v>839</v>
      </c>
      <c r="B4">
        <v>1299.25991565</v>
      </c>
      <c r="C4">
        <v>14.2001515817</v>
      </c>
      <c r="D4">
        <v>35470.346914000002</v>
      </c>
    </row>
    <row r="5" spans="1:4">
      <c r="A5" t="s">
        <v>840</v>
      </c>
      <c r="B5">
        <v>3205.5234945399998</v>
      </c>
      <c r="C5">
        <v>50.305726756200002</v>
      </c>
      <c r="D5">
        <v>2554.83243752</v>
      </c>
    </row>
    <row r="6" spans="1:4">
      <c r="A6" t="s">
        <v>841</v>
      </c>
      <c r="B6">
        <v>14612.7412169</v>
      </c>
      <c r="C6">
        <v>223.28393227000001</v>
      </c>
      <c r="D6">
        <v>808.62363191899999</v>
      </c>
    </row>
    <row r="7" spans="1:4">
      <c r="A7" t="s">
        <v>842</v>
      </c>
      <c r="B7">
        <v>8555.1406746800003</v>
      </c>
      <c r="C7">
        <v>157.59405691500001</v>
      </c>
      <c r="D7">
        <v>298.95829052900001</v>
      </c>
    </row>
    <row r="8" spans="1:4">
      <c r="A8" t="s">
        <v>843</v>
      </c>
      <c r="B8">
        <v>56447.234338900002</v>
      </c>
      <c r="C8">
        <v>1053.12831351</v>
      </c>
      <c r="D8">
        <v>10508.8539621</v>
      </c>
    </row>
    <row r="9" spans="1:4">
      <c r="A9" t="s">
        <v>844</v>
      </c>
      <c r="B9">
        <v>0</v>
      </c>
      <c r="C9">
        <v>0</v>
      </c>
      <c r="D9">
        <v>0</v>
      </c>
    </row>
    <row r="10" spans="1:4">
      <c r="A10" t="s">
        <v>845</v>
      </c>
      <c r="B10">
        <v>105265.246031</v>
      </c>
      <c r="C10">
        <v>0</v>
      </c>
      <c r="D10">
        <v>2471218.4148499998</v>
      </c>
    </row>
    <row r="11" spans="1:4">
      <c r="A11" t="s">
        <v>82</v>
      </c>
      <c r="B11">
        <v>22578.174648799999</v>
      </c>
      <c r="C11">
        <v>138.52625955900001</v>
      </c>
      <c r="D11">
        <v>169526.474972</v>
      </c>
    </row>
    <row r="12" spans="1:4">
      <c r="A12" t="s">
        <v>846</v>
      </c>
      <c r="B12">
        <v>2341.4109419199999</v>
      </c>
      <c r="C12">
        <v>71.621924203800006</v>
      </c>
      <c r="D12">
        <v>664.10162930700005</v>
      </c>
    </row>
    <row r="13" spans="1:4">
      <c r="A13" t="s">
        <v>847</v>
      </c>
      <c r="B13">
        <v>18559913.783799998</v>
      </c>
      <c r="C13">
        <v>303811.85109399998</v>
      </c>
      <c r="D13">
        <v>32881049.194499999</v>
      </c>
    </row>
    <row r="14" spans="1:4">
      <c r="A14" t="s">
        <v>848</v>
      </c>
      <c r="B14">
        <v>1782.7626544100001</v>
      </c>
      <c r="C14">
        <v>0</v>
      </c>
      <c r="D14">
        <v>54941.9203308</v>
      </c>
    </row>
    <row r="15" spans="1:4">
      <c r="A15" t="s">
        <v>849</v>
      </c>
      <c r="B15">
        <v>48654.350705500001</v>
      </c>
      <c r="C15">
        <v>2903.0183889800001</v>
      </c>
      <c r="D15">
        <v>65639.100505800001</v>
      </c>
    </row>
    <row r="16" spans="1:4">
      <c r="A16" t="s">
        <v>850</v>
      </c>
      <c r="B16">
        <v>654.84159577200001</v>
      </c>
      <c r="C16">
        <v>6.8728596576800003</v>
      </c>
      <c r="D16">
        <v>2276.2798704800002</v>
      </c>
    </row>
    <row r="17" spans="1:4">
      <c r="A17" t="s">
        <v>851</v>
      </c>
      <c r="B17">
        <v>15821.108124</v>
      </c>
      <c r="C17">
        <v>157.04206430799999</v>
      </c>
      <c r="D17">
        <v>172996.01371</v>
      </c>
    </row>
    <row r="18" spans="1:4">
      <c r="A18" t="s">
        <v>852</v>
      </c>
      <c r="B18">
        <v>1360.5742618100001</v>
      </c>
      <c r="C18">
        <v>0.84235460466900003</v>
      </c>
      <c r="D18">
        <v>6197.20412863</v>
      </c>
    </row>
    <row r="19" spans="1:4">
      <c r="A19" t="s">
        <v>853</v>
      </c>
      <c r="B19">
        <v>141942.952854</v>
      </c>
      <c r="C19">
        <v>0</v>
      </c>
      <c r="D19">
        <v>1481594.17652</v>
      </c>
    </row>
    <row r="20" spans="1:4">
      <c r="A20" t="s">
        <v>854</v>
      </c>
      <c r="B20">
        <v>5263.8341397300001</v>
      </c>
      <c r="C20">
        <v>183.63016340600001</v>
      </c>
      <c r="D20">
        <v>0</v>
      </c>
    </row>
    <row r="21" spans="1:4">
      <c r="A21" t="s">
        <v>827</v>
      </c>
      <c r="B21">
        <v>18952.7691959</v>
      </c>
      <c r="C21">
        <v>369.317403528</v>
      </c>
      <c r="D21">
        <v>4945.0950460399999</v>
      </c>
    </row>
    <row r="22" spans="1:4">
      <c r="A22" t="s">
        <v>855</v>
      </c>
      <c r="B22">
        <v>138.33828790600001</v>
      </c>
      <c r="C22">
        <v>2.46080370988</v>
      </c>
      <c r="D22">
        <v>276.09932416499998</v>
      </c>
    </row>
    <row r="23" spans="1:4">
      <c r="A23" t="s">
        <v>856</v>
      </c>
      <c r="B23">
        <v>25999.9278939</v>
      </c>
      <c r="C23">
        <v>29.770542874099998</v>
      </c>
      <c r="D23">
        <v>12452607.629000001</v>
      </c>
    </row>
    <row r="24" spans="1:4">
      <c r="A24" t="s">
        <v>857</v>
      </c>
      <c r="B24">
        <v>22752.292829000002</v>
      </c>
      <c r="C24">
        <v>0</v>
      </c>
      <c r="D24">
        <v>227892.87499899999</v>
      </c>
    </row>
    <row r="25" spans="1:4">
      <c r="A25" t="s">
        <v>858</v>
      </c>
      <c r="B25">
        <v>183363.12229900001</v>
      </c>
      <c r="C25">
        <v>3146.9273274500001</v>
      </c>
      <c r="D25">
        <v>2002477.9615</v>
      </c>
    </row>
    <row r="26" spans="1:4">
      <c r="A26" t="s">
        <v>859</v>
      </c>
      <c r="B26">
        <v>6002.3468777799999</v>
      </c>
      <c r="C26">
        <v>144.970049937</v>
      </c>
      <c r="D26">
        <v>52739.9439442</v>
      </c>
    </row>
    <row r="27" spans="1:4">
      <c r="A27" t="s">
        <v>860</v>
      </c>
      <c r="B27">
        <v>4991.5831607800001</v>
      </c>
      <c r="C27">
        <v>0</v>
      </c>
      <c r="D27">
        <v>415941.23164000001</v>
      </c>
    </row>
    <row r="28" spans="1:4">
      <c r="A28" t="s">
        <v>861</v>
      </c>
      <c r="B28">
        <v>20093.885254600002</v>
      </c>
      <c r="C28">
        <v>0</v>
      </c>
      <c r="D28">
        <v>79029.017135100003</v>
      </c>
    </row>
    <row r="29" spans="1:4">
      <c r="A29" t="s">
        <v>862</v>
      </c>
      <c r="B29">
        <v>42846.178083600003</v>
      </c>
      <c r="C29">
        <v>0</v>
      </c>
      <c r="D29">
        <v>304876.63990000001</v>
      </c>
    </row>
    <row r="30" spans="1:4">
      <c r="A30" t="s">
        <v>863</v>
      </c>
      <c r="B30">
        <v>9528.5589245400006</v>
      </c>
      <c r="C30">
        <v>0</v>
      </c>
      <c r="D30">
        <v>297188.50910199998</v>
      </c>
    </row>
    <row r="31" spans="1:4">
      <c r="A31" t="s">
        <v>83</v>
      </c>
      <c r="B31">
        <v>44216.406187400004</v>
      </c>
      <c r="C31">
        <v>0</v>
      </c>
      <c r="D31">
        <v>218599.656644</v>
      </c>
    </row>
    <row r="32" spans="1:4">
      <c r="A32" t="s">
        <v>864</v>
      </c>
      <c r="B32">
        <v>10869.6593318</v>
      </c>
      <c r="C32">
        <v>435.80812446099998</v>
      </c>
      <c r="D32">
        <v>1167.6481003599999</v>
      </c>
    </row>
    <row r="33" spans="1:4">
      <c r="A33" t="s">
        <v>865</v>
      </c>
      <c r="B33">
        <v>29461.172381799999</v>
      </c>
      <c r="C33">
        <v>627.26175027800002</v>
      </c>
      <c r="D33">
        <v>1299.9119377</v>
      </c>
    </row>
    <row r="34" spans="1:4">
      <c r="A34" t="s">
        <v>866</v>
      </c>
      <c r="B34">
        <v>100927.114311</v>
      </c>
      <c r="C34">
        <v>2709.5832830099998</v>
      </c>
      <c r="D34">
        <v>11066.9916524</v>
      </c>
    </row>
    <row r="35" spans="1:4">
      <c r="A35" t="s">
        <v>867</v>
      </c>
      <c r="B35">
        <v>5038.1291357299997</v>
      </c>
      <c r="C35">
        <v>7.0043576245900005E-2</v>
      </c>
      <c r="D35">
        <v>24220.733712599998</v>
      </c>
    </row>
    <row r="36" spans="1:4">
      <c r="A36" t="s">
        <v>868</v>
      </c>
      <c r="B36">
        <v>1519.02133751</v>
      </c>
      <c r="C36">
        <v>0</v>
      </c>
      <c r="D36">
        <v>52275.875178000002</v>
      </c>
    </row>
    <row r="37" spans="1:4">
      <c r="A37" t="s">
        <v>869</v>
      </c>
      <c r="B37">
        <v>17425.006518099999</v>
      </c>
      <c r="C37">
        <v>432.13560127300002</v>
      </c>
      <c r="D37">
        <v>7853.3296157100003</v>
      </c>
    </row>
    <row r="38" spans="1:4">
      <c r="A38" t="s">
        <v>84</v>
      </c>
      <c r="B38">
        <v>2257809.9707300002</v>
      </c>
      <c r="C38">
        <v>80333.111087400001</v>
      </c>
      <c r="D38">
        <v>1381160.45964</v>
      </c>
    </row>
    <row r="39" spans="1:4">
      <c r="A39" t="s">
        <v>870</v>
      </c>
      <c r="B39">
        <v>923.65963041199996</v>
      </c>
      <c r="C39">
        <v>0</v>
      </c>
      <c r="D39">
        <v>3931575.0691</v>
      </c>
    </row>
    <row r="40" spans="1:4">
      <c r="A40" t="s">
        <v>871</v>
      </c>
      <c r="B40">
        <v>7991.6122691500004</v>
      </c>
      <c r="C40">
        <v>0</v>
      </c>
      <c r="D40">
        <v>13652403.0474</v>
      </c>
    </row>
    <row r="41" spans="1:4">
      <c r="A41" t="s">
        <v>872</v>
      </c>
      <c r="B41">
        <v>16932.902374599998</v>
      </c>
      <c r="C41">
        <v>0</v>
      </c>
      <c r="D41">
        <v>211890.790404</v>
      </c>
    </row>
    <row r="42" spans="1:4">
      <c r="A42" t="s">
        <v>873</v>
      </c>
      <c r="B42">
        <v>1074.07271578</v>
      </c>
      <c r="C42">
        <v>5.81918796257</v>
      </c>
      <c r="D42">
        <v>15320.0918955</v>
      </c>
    </row>
    <row r="43" spans="1:4">
      <c r="A43" t="s">
        <v>874</v>
      </c>
      <c r="B43">
        <v>650879.46664700005</v>
      </c>
      <c r="C43">
        <v>23131.8121168</v>
      </c>
      <c r="D43">
        <v>150133.165343</v>
      </c>
    </row>
    <row r="44" spans="1:4">
      <c r="A44" t="s">
        <v>875</v>
      </c>
      <c r="B44">
        <v>26416.737029299999</v>
      </c>
      <c r="C44">
        <v>736.59336951299997</v>
      </c>
      <c r="D44">
        <v>3755.9046343700002</v>
      </c>
    </row>
    <row r="45" spans="1:4">
      <c r="A45" t="s">
        <v>876</v>
      </c>
      <c r="B45">
        <v>0</v>
      </c>
      <c r="C45">
        <v>0</v>
      </c>
      <c r="D45">
        <v>0</v>
      </c>
    </row>
    <row r="46" spans="1:4">
      <c r="A46" t="s">
        <v>877</v>
      </c>
      <c r="B46">
        <v>2051.98247446</v>
      </c>
      <c r="C46">
        <v>4.0662416586100001</v>
      </c>
      <c r="D46">
        <v>288116.93234399997</v>
      </c>
    </row>
    <row r="47" spans="1:4">
      <c r="A47" t="s">
        <v>878</v>
      </c>
      <c r="B47">
        <v>303585.14319199999</v>
      </c>
      <c r="C47">
        <v>8047.6522877099997</v>
      </c>
      <c r="D47">
        <v>1191489.0757800001</v>
      </c>
    </row>
    <row r="48" spans="1:4">
      <c r="A48" t="s">
        <v>879</v>
      </c>
      <c r="B48">
        <v>110021.26331900001</v>
      </c>
      <c r="C48">
        <v>3300.54980656</v>
      </c>
      <c r="D48">
        <v>478304.05889300001</v>
      </c>
    </row>
    <row r="49" spans="1:4">
      <c r="A49" t="s">
        <v>880</v>
      </c>
      <c r="B49">
        <v>57449.154046900003</v>
      </c>
      <c r="C49">
        <v>1124.97317651</v>
      </c>
      <c r="D49">
        <v>177487.449012</v>
      </c>
    </row>
    <row r="50" spans="1:4">
      <c r="A50" t="s">
        <v>881</v>
      </c>
      <c r="B50">
        <v>35153.148083499997</v>
      </c>
      <c r="C50">
        <v>1306.2770988699999</v>
      </c>
      <c r="D50">
        <v>179671.77161200001</v>
      </c>
    </row>
    <row r="51" spans="1:4">
      <c r="A51" t="s">
        <v>882</v>
      </c>
      <c r="B51">
        <v>100961.577743</v>
      </c>
      <c r="C51">
        <v>2315.8522057599998</v>
      </c>
      <c r="D51">
        <v>356025.796264</v>
      </c>
    </row>
    <row r="52" spans="1:4">
      <c r="A52" t="s">
        <v>883</v>
      </c>
      <c r="B52">
        <v>2021.8225789799999</v>
      </c>
      <c r="C52">
        <v>55.785152793599998</v>
      </c>
      <c r="D52">
        <v>435.19222791599998</v>
      </c>
    </row>
    <row r="53" spans="1:4">
      <c r="A53" t="s">
        <v>884</v>
      </c>
      <c r="B53">
        <v>8914.1155679700005</v>
      </c>
      <c r="C53">
        <v>226.128717722</v>
      </c>
      <c r="D53">
        <v>579.36261577799996</v>
      </c>
    </row>
    <row r="54" spans="1:4">
      <c r="A54" t="s">
        <v>885</v>
      </c>
      <c r="B54">
        <v>180596.87866700001</v>
      </c>
      <c r="C54">
        <v>6389.2106463</v>
      </c>
      <c r="D54">
        <v>568974.458705</v>
      </c>
    </row>
    <row r="55" spans="1:4">
      <c r="A55" t="s">
        <v>886</v>
      </c>
      <c r="B55">
        <v>379369.57355600002</v>
      </c>
      <c r="C55">
        <v>9922.0349669000007</v>
      </c>
      <c r="D55">
        <v>2521497.0942500001</v>
      </c>
    </row>
    <row r="56" spans="1:4">
      <c r="A56" t="s">
        <v>887</v>
      </c>
      <c r="B56">
        <v>144811.80506899999</v>
      </c>
      <c r="C56">
        <v>4085.88482256</v>
      </c>
      <c r="D56">
        <v>84162.089525599993</v>
      </c>
    </row>
    <row r="57" spans="1:4">
      <c r="A57" t="s">
        <v>888</v>
      </c>
      <c r="B57">
        <v>8699.7341744200003</v>
      </c>
      <c r="C57">
        <v>286.43485550499997</v>
      </c>
      <c r="D57">
        <v>4263.3274094099997</v>
      </c>
    </row>
    <row r="58" spans="1:4">
      <c r="A58" t="s">
        <v>889</v>
      </c>
      <c r="B58">
        <v>39860.144992000001</v>
      </c>
      <c r="C58">
        <v>1275.3092453700001</v>
      </c>
      <c r="D58">
        <v>20476.5500937</v>
      </c>
    </row>
    <row r="59" spans="1:4">
      <c r="A59" t="s">
        <v>890</v>
      </c>
      <c r="B59">
        <v>42903.139178899997</v>
      </c>
      <c r="C59">
        <v>1363.8077638300001</v>
      </c>
      <c r="D59">
        <v>21972.161937199999</v>
      </c>
    </row>
    <row r="60" spans="1:4">
      <c r="A60" t="s">
        <v>891</v>
      </c>
      <c r="B60">
        <v>53348.7867234</v>
      </c>
      <c r="C60">
        <v>1160.33295785</v>
      </c>
      <c r="D60">
        <v>37450.050085299998</v>
      </c>
    </row>
    <row r="61" spans="1:4">
      <c r="A61" t="s">
        <v>892</v>
      </c>
      <c r="B61">
        <v>85.076242940200004</v>
      </c>
      <c r="C61">
        <v>3.5183089725799999</v>
      </c>
      <c r="D61">
        <v>0</v>
      </c>
    </row>
    <row r="62" spans="1:4">
      <c r="A62" t="s">
        <v>893</v>
      </c>
      <c r="B62">
        <v>2277.3074083800002</v>
      </c>
      <c r="C62">
        <v>13.0290310618</v>
      </c>
      <c r="D62">
        <v>12183.3423124</v>
      </c>
    </row>
    <row r="63" spans="1:4">
      <c r="A63" t="s">
        <v>894</v>
      </c>
      <c r="B63">
        <v>47759.957368299998</v>
      </c>
      <c r="C63">
        <v>1526.8684529699999</v>
      </c>
      <c r="D63">
        <v>3353.7009060999999</v>
      </c>
    </row>
    <row r="64" spans="1:4">
      <c r="A64" t="s">
        <v>895</v>
      </c>
      <c r="B64">
        <v>6588879.1880400004</v>
      </c>
      <c r="C64">
        <v>84489.662183499997</v>
      </c>
      <c r="D64">
        <v>28836599.662999999</v>
      </c>
    </row>
    <row r="65" spans="1:4">
      <c r="A65" t="s">
        <v>896</v>
      </c>
      <c r="B65">
        <v>47097.420551099996</v>
      </c>
      <c r="C65">
        <v>0</v>
      </c>
      <c r="D65">
        <v>390092.07056600001</v>
      </c>
    </row>
    <row r="66" spans="1:4">
      <c r="A66" t="s">
        <v>897</v>
      </c>
      <c r="B66">
        <v>1616222.9107900001</v>
      </c>
      <c r="C66">
        <v>22621.222947999999</v>
      </c>
      <c r="D66">
        <v>5954199.5885699997</v>
      </c>
    </row>
    <row r="67" spans="1:4">
      <c r="A67" t="s">
        <v>898</v>
      </c>
      <c r="B67">
        <v>1160913.9082599999</v>
      </c>
      <c r="C67">
        <v>12793.484428</v>
      </c>
      <c r="D67">
        <v>700541.166814</v>
      </c>
    </row>
    <row r="68" spans="1:4">
      <c r="A68" t="s">
        <v>899</v>
      </c>
      <c r="B68">
        <v>454198.24030300003</v>
      </c>
      <c r="C68">
        <v>5329.4375199699998</v>
      </c>
      <c r="D68">
        <v>159340.65987100001</v>
      </c>
    </row>
    <row r="69" spans="1:4">
      <c r="A69" t="s">
        <v>900</v>
      </c>
      <c r="B69">
        <v>30024.663833099999</v>
      </c>
      <c r="C69">
        <v>241.05873320200001</v>
      </c>
      <c r="D69">
        <v>65207.669397600002</v>
      </c>
    </row>
    <row r="70" spans="1:4">
      <c r="A70" t="s">
        <v>901</v>
      </c>
      <c r="B70">
        <v>156851.338674</v>
      </c>
      <c r="C70">
        <v>0</v>
      </c>
      <c r="D70">
        <v>2481004.7178000002</v>
      </c>
    </row>
    <row r="71" spans="1:4">
      <c r="A71" t="s">
        <v>902</v>
      </c>
      <c r="B71">
        <v>12816.933738899999</v>
      </c>
      <c r="C71">
        <v>176.62217622599999</v>
      </c>
      <c r="D71">
        <v>46158.057205600002</v>
      </c>
    </row>
    <row r="72" spans="1:4">
      <c r="A72" t="s">
        <v>903</v>
      </c>
      <c r="B72">
        <v>7646.5647506900004</v>
      </c>
      <c r="C72">
        <v>0</v>
      </c>
      <c r="D72">
        <v>82479.589874500001</v>
      </c>
    </row>
    <row r="73" spans="1:4">
      <c r="A73" t="s">
        <v>904</v>
      </c>
      <c r="B73">
        <v>317.040289836</v>
      </c>
      <c r="C73">
        <v>6.3948507913799997</v>
      </c>
      <c r="D73">
        <v>0</v>
      </c>
    </row>
    <row r="74" spans="1:4">
      <c r="A74" t="s">
        <v>905</v>
      </c>
      <c r="B74">
        <v>2474.8612561199998</v>
      </c>
      <c r="C74">
        <v>80.640268284399994</v>
      </c>
      <c r="D74">
        <v>4982.0853921099997</v>
      </c>
    </row>
    <row r="75" spans="1:4">
      <c r="A75" t="s">
        <v>906</v>
      </c>
      <c r="B75">
        <v>1184.6592513099999</v>
      </c>
      <c r="C75">
        <v>0.25649238297499999</v>
      </c>
      <c r="D75">
        <v>7123.9100421499998</v>
      </c>
    </row>
    <row r="76" spans="1:4">
      <c r="A76" t="s">
        <v>907</v>
      </c>
      <c r="B76">
        <v>196199.655134</v>
      </c>
      <c r="C76">
        <v>0</v>
      </c>
      <c r="D76">
        <v>1091221.1520199999</v>
      </c>
    </row>
    <row r="77" spans="1:4">
      <c r="A77" t="s">
        <v>908</v>
      </c>
      <c r="B77">
        <v>68024.754032900004</v>
      </c>
      <c r="C77">
        <v>0</v>
      </c>
      <c r="D77">
        <v>1735353.1348300001</v>
      </c>
    </row>
    <row r="78" spans="1:4">
      <c r="A78" t="s">
        <v>85</v>
      </c>
      <c r="B78">
        <v>424943.56342999998</v>
      </c>
      <c r="C78">
        <v>11067.909845</v>
      </c>
      <c r="D78">
        <v>1496582.2921500001</v>
      </c>
    </row>
    <row r="79" spans="1:4">
      <c r="A79" t="s">
        <v>909</v>
      </c>
      <c r="B79">
        <v>975116.68851799995</v>
      </c>
      <c r="C79">
        <v>21413.140631300001</v>
      </c>
      <c r="D79">
        <v>15618407.103800001</v>
      </c>
    </row>
    <row r="80" spans="1:4">
      <c r="A80" t="s">
        <v>910</v>
      </c>
      <c r="B80">
        <v>2949759.23765</v>
      </c>
      <c r="C80">
        <v>37084.322147400002</v>
      </c>
      <c r="D80">
        <v>2622724.6253</v>
      </c>
    </row>
    <row r="81" spans="1:4">
      <c r="A81" t="s">
        <v>765</v>
      </c>
      <c r="B81">
        <v>458501.17257499998</v>
      </c>
      <c r="C81">
        <v>4909.5615661800002</v>
      </c>
      <c r="D81">
        <v>591108.22412599996</v>
      </c>
    </row>
    <row r="82" spans="1:4">
      <c r="A82" t="s">
        <v>911</v>
      </c>
      <c r="B82">
        <v>46031.080189300003</v>
      </c>
      <c r="C82">
        <v>518.06365506199995</v>
      </c>
      <c r="D82">
        <v>41935.501480799998</v>
      </c>
    </row>
    <row r="83" spans="1:4">
      <c r="A83" t="s">
        <v>912</v>
      </c>
      <c r="B83">
        <v>186894.669716</v>
      </c>
      <c r="C83">
        <v>4079.3138233700001</v>
      </c>
      <c r="D83">
        <v>1037347.53417</v>
      </c>
    </row>
    <row r="84" spans="1:4">
      <c r="A84" t="s">
        <v>913</v>
      </c>
      <c r="B84">
        <v>1261.09676313</v>
      </c>
      <c r="C84">
        <v>16.972116677700001</v>
      </c>
      <c r="D84">
        <v>6.8200222846300003</v>
      </c>
    </row>
    <row r="85" spans="1:4">
      <c r="A85" t="s">
        <v>914</v>
      </c>
      <c r="B85">
        <v>21909.968842599999</v>
      </c>
      <c r="C85">
        <v>249.98930895300001</v>
      </c>
      <c r="D85">
        <v>17453.545274100001</v>
      </c>
    </row>
    <row r="86" spans="1:4">
      <c r="A86" t="s">
        <v>915</v>
      </c>
      <c r="B86">
        <v>220862.03361400001</v>
      </c>
      <c r="C86">
        <v>3226.7958119199998</v>
      </c>
      <c r="D86">
        <v>12418.1808833</v>
      </c>
    </row>
    <row r="87" spans="1:4">
      <c r="A87" t="s">
        <v>916</v>
      </c>
      <c r="B87">
        <v>123697.588557</v>
      </c>
      <c r="C87">
        <v>267.90352092000001</v>
      </c>
      <c r="D87">
        <v>335347.10333999997</v>
      </c>
    </row>
    <row r="88" spans="1:4">
      <c r="A88" t="s">
        <v>917</v>
      </c>
      <c r="B88">
        <v>596.84233433700001</v>
      </c>
      <c r="C88">
        <v>10.9367514594</v>
      </c>
      <c r="D88">
        <v>18.3408515309</v>
      </c>
    </row>
    <row r="89" spans="1:4">
      <c r="A89" t="s">
        <v>918</v>
      </c>
      <c r="B89">
        <v>442280.54612100002</v>
      </c>
      <c r="C89">
        <v>11529.085918000001</v>
      </c>
      <c r="D89">
        <v>18705.071327400001</v>
      </c>
    </row>
    <row r="90" spans="1:4">
      <c r="A90" t="s">
        <v>919</v>
      </c>
      <c r="B90">
        <v>23622.301947200001</v>
      </c>
      <c r="C90">
        <v>0</v>
      </c>
      <c r="D90">
        <v>249241.47640700001</v>
      </c>
    </row>
    <row r="91" spans="1:4">
      <c r="A91" t="s">
        <v>920</v>
      </c>
      <c r="B91">
        <v>6398.7033975300001</v>
      </c>
      <c r="C91">
        <v>0.91239818091400005</v>
      </c>
      <c r="D91">
        <v>32181.066670600001</v>
      </c>
    </row>
    <row r="92" spans="1:4">
      <c r="A92" t="s">
        <v>921</v>
      </c>
      <c r="B92">
        <v>0</v>
      </c>
      <c r="C92">
        <v>0</v>
      </c>
      <c r="D92">
        <v>0</v>
      </c>
    </row>
    <row r="93" spans="1:4">
      <c r="A93" t="s">
        <v>922</v>
      </c>
      <c r="B93">
        <v>18639.214696700001</v>
      </c>
      <c r="C93">
        <v>0</v>
      </c>
      <c r="D93">
        <v>686461.208185</v>
      </c>
    </row>
    <row r="94" spans="1:4">
      <c r="A94" t="s">
        <v>923</v>
      </c>
      <c r="B94">
        <v>25854.627486500001</v>
      </c>
      <c r="C94">
        <v>266.96967024100002</v>
      </c>
      <c r="D94">
        <v>84788.164711000005</v>
      </c>
    </row>
    <row r="95" spans="1:4">
      <c r="A95" t="s">
        <v>924</v>
      </c>
      <c r="B95">
        <v>6364.8385905599998</v>
      </c>
      <c r="C95">
        <v>201.39070901700001</v>
      </c>
      <c r="D95">
        <v>817.72554426800002</v>
      </c>
    </row>
    <row r="96" spans="1:4">
      <c r="A96" t="s">
        <v>925</v>
      </c>
      <c r="B96">
        <v>54676.224040699999</v>
      </c>
      <c r="C96">
        <v>777.49070613699996</v>
      </c>
      <c r="D96">
        <v>388254.659407</v>
      </c>
    </row>
    <row r="97" spans="1:4">
      <c r="A97" t="s">
        <v>926</v>
      </c>
      <c r="B97">
        <v>518.03415239000003</v>
      </c>
      <c r="C97">
        <v>0.19041999690299999</v>
      </c>
      <c r="D97">
        <v>5368.7438511600003</v>
      </c>
    </row>
    <row r="98" spans="1:4">
      <c r="A98" t="s">
        <v>927</v>
      </c>
      <c r="B98">
        <v>33314.680353099997</v>
      </c>
      <c r="C98">
        <v>447.47455871099999</v>
      </c>
      <c r="D98">
        <v>197843.35913699999</v>
      </c>
    </row>
    <row r="99" spans="1:4">
      <c r="A99" t="s">
        <v>86</v>
      </c>
      <c r="B99">
        <v>95820.963734399993</v>
      </c>
      <c r="C99">
        <v>996.53714334899996</v>
      </c>
      <c r="D99">
        <v>81796.485646300003</v>
      </c>
    </row>
    <row r="100" spans="1:4">
      <c r="A100" t="s">
        <v>928</v>
      </c>
      <c r="B100">
        <v>14932.548384199999</v>
      </c>
      <c r="C100">
        <v>524.086267969</v>
      </c>
      <c r="D100">
        <v>438.63513992100002</v>
      </c>
    </row>
    <row r="101" spans="1:4">
      <c r="A101" t="s">
        <v>929</v>
      </c>
      <c r="B101">
        <v>480.81101881400002</v>
      </c>
      <c r="C101">
        <v>7.2547248123600001</v>
      </c>
      <c r="D101">
        <v>2838.4626842799998</v>
      </c>
    </row>
    <row r="102" spans="1:4">
      <c r="A102" t="s">
        <v>930</v>
      </c>
      <c r="B102">
        <v>2627.5404634800002</v>
      </c>
      <c r="C102">
        <v>0</v>
      </c>
      <c r="D102">
        <v>52612.959657500003</v>
      </c>
    </row>
    <row r="103" spans="1:4">
      <c r="A103" t="s">
        <v>931</v>
      </c>
      <c r="B103">
        <v>155127.12993200001</v>
      </c>
      <c r="C103">
        <v>2396.73226342</v>
      </c>
      <c r="D103">
        <v>451135.07857499999</v>
      </c>
    </row>
    <row r="104" spans="1:4">
      <c r="A104" t="s">
        <v>932</v>
      </c>
      <c r="B104">
        <v>13.273540135599999</v>
      </c>
      <c r="C104">
        <v>0.24606068515000001</v>
      </c>
      <c r="D104">
        <v>5.6722232893599997E-2</v>
      </c>
    </row>
    <row r="105" spans="1:4">
      <c r="A105" t="s">
        <v>933</v>
      </c>
      <c r="B105">
        <v>7777.8860345200001</v>
      </c>
      <c r="C105">
        <v>205.16772311700001</v>
      </c>
      <c r="D105">
        <v>45.902971797799999</v>
      </c>
    </row>
    <row r="106" spans="1:4">
      <c r="A106" t="s">
        <v>934</v>
      </c>
      <c r="B106">
        <v>309869.34237999999</v>
      </c>
      <c r="C106">
        <v>3976.3898156300002</v>
      </c>
      <c r="D106">
        <v>1123166.37797</v>
      </c>
    </row>
    <row r="107" spans="1:4">
      <c r="A107" t="s">
        <v>935</v>
      </c>
      <c r="B107">
        <v>496.34131995000001</v>
      </c>
      <c r="C107">
        <v>0</v>
      </c>
      <c r="D107">
        <v>80749.652567900004</v>
      </c>
    </row>
    <row r="108" spans="1:4">
      <c r="A108" t="s">
        <v>936</v>
      </c>
      <c r="B108">
        <v>41508.311653600002</v>
      </c>
      <c r="C108">
        <v>580.99062126900003</v>
      </c>
      <c r="D108">
        <v>219155.83869599999</v>
      </c>
    </row>
    <row r="109" spans="1:4">
      <c r="A109" t="s">
        <v>937</v>
      </c>
      <c r="B109">
        <v>0</v>
      </c>
      <c r="C109">
        <v>0</v>
      </c>
      <c r="D109">
        <v>0</v>
      </c>
    </row>
    <row r="110" spans="1:4">
      <c r="A110" t="s">
        <v>938</v>
      </c>
      <c r="B110">
        <v>1619331.2622799999</v>
      </c>
      <c r="C110">
        <v>22628.4776728</v>
      </c>
      <c r="D110">
        <v>6009651.0109099997</v>
      </c>
    </row>
    <row r="111" spans="1:4">
      <c r="A111" t="s">
        <v>939</v>
      </c>
      <c r="B111">
        <v>39137.951312999998</v>
      </c>
      <c r="C111">
        <v>455.36979426200003</v>
      </c>
      <c r="D111">
        <v>181603.825858</v>
      </c>
    </row>
    <row r="112" spans="1:4">
      <c r="A112" t="s">
        <v>940</v>
      </c>
      <c r="B112">
        <v>697.85787443900006</v>
      </c>
      <c r="C112">
        <v>0</v>
      </c>
      <c r="D112">
        <v>12111.5701936</v>
      </c>
    </row>
    <row r="113" spans="1:4">
      <c r="A113" t="s">
        <v>941</v>
      </c>
      <c r="B113">
        <v>16904.5684707</v>
      </c>
      <c r="C113">
        <v>197.754905073</v>
      </c>
      <c r="D113">
        <v>108285.2582</v>
      </c>
    </row>
    <row r="114" spans="1:4">
      <c r="A114" t="s">
        <v>942</v>
      </c>
      <c r="B114">
        <v>10755.83755</v>
      </c>
      <c r="C114">
        <v>0</v>
      </c>
      <c r="D114">
        <v>1912936.5309599999</v>
      </c>
    </row>
    <row r="115" spans="1:4">
      <c r="A115" t="s">
        <v>943</v>
      </c>
      <c r="B115">
        <v>5903.0728716499998</v>
      </c>
      <c r="C115">
        <v>138.37162476399999</v>
      </c>
      <c r="D115">
        <v>1449028.0299</v>
      </c>
    </row>
    <row r="116" spans="1:4">
      <c r="A116" t="s">
        <v>944</v>
      </c>
      <c r="B116">
        <v>2.39754365751</v>
      </c>
      <c r="C116">
        <v>0</v>
      </c>
      <c r="D116">
        <v>4403269.0452699997</v>
      </c>
    </row>
    <row r="117" spans="1:4">
      <c r="A117" t="s">
        <v>945</v>
      </c>
      <c r="B117">
        <v>9776.5558892000008</v>
      </c>
      <c r="C117">
        <v>332.85468558899998</v>
      </c>
      <c r="D117">
        <v>38005.163661799997</v>
      </c>
    </row>
    <row r="118" spans="1:4">
      <c r="A118" t="s">
        <v>946</v>
      </c>
      <c r="B118">
        <v>9641.6174283300006</v>
      </c>
      <c r="C118">
        <v>357.17661166200003</v>
      </c>
      <c r="D118">
        <v>200.603019004</v>
      </c>
    </row>
    <row r="119" spans="1:4">
      <c r="A119" t="s">
        <v>947</v>
      </c>
      <c r="B119">
        <v>6120.1243665800002</v>
      </c>
      <c r="C119">
        <v>24.047567267400002</v>
      </c>
      <c r="D119">
        <v>255778.397153</v>
      </c>
    </row>
    <row r="120" spans="1:4">
      <c r="A120" t="s">
        <v>819</v>
      </c>
      <c r="B120">
        <v>570.18698499699997</v>
      </c>
      <c r="C120">
        <v>0</v>
      </c>
      <c r="D120">
        <v>2155756.45836</v>
      </c>
    </row>
    <row r="121" spans="1:4">
      <c r="A121" t="s">
        <v>948</v>
      </c>
      <c r="B121">
        <v>2892.3283243199999</v>
      </c>
      <c r="C121">
        <v>0.80178703764199999</v>
      </c>
      <c r="D121">
        <v>934864.24631800002</v>
      </c>
    </row>
    <row r="122" spans="1:4">
      <c r="A122" t="s">
        <v>949</v>
      </c>
      <c r="B122">
        <v>1588.47887393</v>
      </c>
      <c r="C122">
        <v>0</v>
      </c>
      <c r="D122">
        <v>15258.921703800001</v>
      </c>
    </row>
    <row r="123" spans="1:4">
      <c r="A123" t="s">
        <v>950</v>
      </c>
      <c r="B123">
        <v>9822.5763700999996</v>
      </c>
      <c r="C123">
        <v>10.8776687136</v>
      </c>
      <c r="D123">
        <v>734823.75524900004</v>
      </c>
    </row>
    <row r="124" spans="1:4">
      <c r="A124" t="s">
        <v>951</v>
      </c>
      <c r="B124">
        <v>1768.87948422</v>
      </c>
      <c r="C124">
        <v>0</v>
      </c>
      <c r="D124">
        <v>57177.589740700001</v>
      </c>
    </row>
    <row r="125" spans="1:4">
      <c r="A125" t="s">
        <v>952</v>
      </c>
      <c r="B125">
        <v>0</v>
      </c>
      <c r="C125">
        <v>0</v>
      </c>
      <c r="D125">
        <v>0</v>
      </c>
    </row>
    <row r="126" spans="1:4">
      <c r="A126" t="s">
        <v>953</v>
      </c>
      <c r="B126">
        <v>39385.011458300003</v>
      </c>
      <c r="C126">
        <v>21.3265078823</v>
      </c>
      <c r="D126">
        <v>3154513.1329899998</v>
      </c>
    </row>
    <row r="127" spans="1:4">
      <c r="A127" t="s">
        <v>954</v>
      </c>
      <c r="B127">
        <v>56799.922106799997</v>
      </c>
      <c r="C127">
        <v>686.29214858399996</v>
      </c>
      <c r="D127">
        <v>24927.580506599999</v>
      </c>
    </row>
    <row r="128" spans="1:4">
      <c r="A128" t="s">
        <v>955</v>
      </c>
      <c r="B128">
        <v>130558.486856</v>
      </c>
      <c r="C128">
        <v>1226.0690356800001</v>
      </c>
      <c r="D128">
        <v>12411151.8204</v>
      </c>
    </row>
    <row r="129" spans="1:4">
      <c r="A129" t="s">
        <v>87</v>
      </c>
      <c r="B129">
        <v>69533.622467599998</v>
      </c>
      <c r="C129">
        <v>693.92363457800002</v>
      </c>
      <c r="D129">
        <v>28752.646183500001</v>
      </c>
    </row>
    <row r="130" spans="1:4">
      <c r="A130" t="s">
        <v>956</v>
      </c>
      <c r="B130">
        <v>412503.45444</v>
      </c>
      <c r="C130">
        <v>13108.120278599999</v>
      </c>
      <c r="D130">
        <v>26637.688923400001</v>
      </c>
    </row>
    <row r="131" spans="1:4">
      <c r="A131" t="s">
        <v>957</v>
      </c>
      <c r="B131">
        <v>18218.0170908</v>
      </c>
      <c r="C131">
        <v>384.97145030799999</v>
      </c>
      <c r="D131">
        <v>2976914.1442200001</v>
      </c>
    </row>
    <row r="132" spans="1:4">
      <c r="A132" t="s">
        <v>958</v>
      </c>
      <c r="B132">
        <v>13521.723518299999</v>
      </c>
      <c r="C132">
        <v>315.378445763</v>
      </c>
      <c r="D132">
        <v>2731580.2086399999</v>
      </c>
    </row>
    <row r="133" spans="1:4">
      <c r="A133" t="s">
        <v>959</v>
      </c>
      <c r="B133">
        <v>191.510162385</v>
      </c>
      <c r="C133">
        <v>5.0871262072599999</v>
      </c>
      <c r="D133">
        <v>207308.75623</v>
      </c>
    </row>
    <row r="134" spans="1:4">
      <c r="A134" t="s">
        <v>88</v>
      </c>
      <c r="B134">
        <v>8953.8136729599992</v>
      </c>
      <c r="C134">
        <v>159.16499282199999</v>
      </c>
      <c r="D134">
        <v>3591.7607969699998</v>
      </c>
    </row>
    <row r="135" spans="1:4">
      <c r="A135" t="s">
        <v>960</v>
      </c>
      <c r="B135">
        <v>542776.77780799998</v>
      </c>
      <c r="C135">
        <v>14096.070802300001</v>
      </c>
      <c r="D135">
        <v>8955208.6351699997</v>
      </c>
    </row>
    <row r="136" spans="1:4">
      <c r="A136" t="s">
        <v>961</v>
      </c>
      <c r="B136">
        <v>8200.8511406800008</v>
      </c>
      <c r="C136">
        <v>145.341814505</v>
      </c>
      <c r="D136">
        <v>3571.7561097100001</v>
      </c>
    </row>
    <row r="137" spans="1:4">
      <c r="A137" t="s">
        <v>962</v>
      </c>
      <c r="B137">
        <v>21240.905580999999</v>
      </c>
      <c r="C137">
        <v>444.74711037999998</v>
      </c>
      <c r="D137">
        <v>1079.3666101700001</v>
      </c>
    </row>
    <row r="138" spans="1:4">
      <c r="A138" t="s">
        <v>963</v>
      </c>
      <c r="B138">
        <v>524.00322866700003</v>
      </c>
      <c r="C138">
        <v>0</v>
      </c>
      <c r="D138">
        <v>251565.84078200001</v>
      </c>
    </row>
    <row r="139" spans="1:4">
      <c r="A139" t="s">
        <v>964</v>
      </c>
      <c r="B139">
        <v>51764.687521</v>
      </c>
      <c r="C139">
        <v>1857.13182147</v>
      </c>
      <c r="D139">
        <v>19859.586840600001</v>
      </c>
    </row>
    <row r="140" spans="1:4">
      <c r="A140" t="s">
        <v>965</v>
      </c>
      <c r="B140">
        <v>35662.7719641</v>
      </c>
      <c r="C140">
        <v>0</v>
      </c>
      <c r="D140">
        <v>956050.36865900003</v>
      </c>
    </row>
    <row r="141" spans="1:4">
      <c r="A141" t="s">
        <v>966</v>
      </c>
      <c r="B141">
        <v>26113.3914076</v>
      </c>
      <c r="C141">
        <v>462.22549442299999</v>
      </c>
      <c r="D141">
        <v>0</v>
      </c>
    </row>
    <row r="142" spans="1:4">
      <c r="A142" t="s">
        <v>967</v>
      </c>
      <c r="B142">
        <v>3246.6209968500002</v>
      </c>
      <c r="C142">
        <v>67.3520515668</v>
      </c>
      <c r="D142">
        <v>2303.1107170800001</v>
      </c>
    </row>
    <row r="143" spans="1:4">
      <c r="A143" t="s">
        <v>826</v>
      </c>
      <c r="B143">
        <v>24477.930004999998</v>
      </c>
      <c r="C143">
        <v>117.549379488</v>
      </c>
      <c r="D143">
        <v>505490.78293599997</v>
      </c>
    </row>
    <row r="144" spans="1:4">
      <c r="A144" t="s">
        <v>968</v>
      </c>
      <c r="B144">
        <v>4018019.26449</v>
      </c>
      <c r="C144">
        <v>60844.5284933</v>
      </c>
      <c r="D144">
        <v>10384226.3222</v>
      </c>
    </row>
    <row r="145" spans="1:4">
      <c r="A145" t="s">
        <v>969</v>
      </c>
      <c r="B145">
        <v>370189.40234899998</v>
      </c>
      <c r="C145">
        <v>6267.4940566699997</v>
      </c>
      <c r="D145">
        <v>882962.59516599996</v>
      </c>
    </row>
    <row r="146" spans="1:4">
      <c r="A146" t="s">
        <v>970</v>
      </c>
      <c r="B146">
        <v>5828.2926645500002</v>
      </c>
      <c r="C146">
        <v>205.06308477600001</v>
      </c>
      <c r="D146">
        <v>5064.3090882899996</v>
      </c>
    </row>
    <row r="147" spans="1:4">
      <c r="A147" t="s">
        <v>971</v>
      </c>
      <c r="B147">
        <v>3469.1279406100002</v>
      </c>
      <c r="C147">
        <v>87.962703111600007</v>
      </c>
      <c r="D147">
        <v>26292.614486900002</v>
      </c>
    </row>
    <row r="148" spans="1:4">
      <c r="A148" t="s">
        <v>972</v>
      </c>
      <c r="B148">
        <v>30791.725577699999</v>
      </c>
      <c r="C148">
        <v>435.83488859300002</v>
      </c>
      <c r="D148">
        <v>1569.28882946</v>
      </c>
    </row>
    <row r="149" spans="1:4">
      <c r="A149" t="s">
        <v>973</v>
      </c>
      <c r="B149">
        <v>26958.9516215</v>
      </c>
      <c r="C149">
        <v>29.770542874099998</v>
      </c>
      <c r="D149">
        <v>15283763.6318</v>
      </c>
    </row>
    <row r="150" spans="1:4">
      <c r="A150" t="s">
        <v>974</v>
      </c>
      <c r="B150">
        <v>27240.383933900001</v>
      </c>
      <c r="C150">
        <v>11.762396215500001</v>
      </c>
      <c r="D150">
        <v>1000288.06829</v>
      </c>
    </row>
    <row r="151" spans="1:4">
      <c r="A151" t="s">
        <v>975</v>
      </c>
      <c r="B151">
        <v>127494.88746699999</v>
      </c>
      <c r="C151">
        <v>4.4266681950200004</v>
      </c>
      <c r="D151">
        <v>4782662.5438099997</v>
      </c>
    </row>
    <row r="152" spans="1:4">
      <c r="A152" t="s">
        <v>976</v>
      </c>
      <c r="B152">
        <v>1370184.8285600001</v>
      </c>
      <c r="C152">
        <v>50810.910557000003</v>
      </c>
      <c r="D152">
        <v>635710.97274799994</v>
      </c>
    </row>
    <row r="153" spans="1:4">
      <c r="A153" t="s">
        <v>977</v>
      </c>
      <c r="B153">
        <v>238376.01220600001</v>
      </c>
      <c r="C153">
        <v>10023.6918381</v>
      </c>
      <c r="D153">
        <v>129437.64702</v>
      </c>
    </row>
    <row r="154" spans="1:4">
      <c r="A154" t="s">
        <v>978</v>
      </c>
      <c r="B154">
        <v>4742.1152904999999</v>
      </c>
      <c r="C154">
        <v>127.692151882</v>
      </c>
      <c r="D154">
        <v>869.080481061</v>
      </c>
    </row>
    <row r="155" spans="1:4">
      <c r="A155" t="s">
        <v>979</v>
      </c>
      <c r="B155">
        <v>102.852550483</v>
      </c>
      <c r="C155">
        <v>0</v>
      </c>
      <c r="D155">
        <v>22437.9612892</v>
      </c>
    </row>
    <row r="156" spans="1:4">
      <c r="A156" t="s">
        <v>980</v>
      </c>
      <c r="B156">
        <v>10310.690035699999</v>
      </c>
      <c r="C156">
        <v>341.04431326700001</v>
      </c>
      <c r="D156">
        <v>770.97487800199997</v>
      </c>
    </row>
    <row r="157" spans="1:4">
      <c r="A157" t="s">
        <v>981</v>
      </c>
      <c r="B157">
        <v>2283.3783681700002</v>
      </c>
      <c r="C157">
        <v>41.047632189799998</v>
      </c>
      <c r="D157">
        <v>0</v>
      </c>
    </row>
    <row r="158" spans="1:4">
      <c r="A158" t="s">
        <v>740</v>
      </c>
      <c r="B158">
        <v>0</v>
      </c>
      <c r="C158">
        <v>0</v>
      </c>
      <c r="D158">
        <v>8113686.5111800004</v>
      </c>
    </row>
    <row r="159" spans="1:4">
      <c r="A159" t="s">
        <v>982</v>
      </c>
      <c r="B159">
        <v>157017.466827</v>
      </c>
      <c r="C159">
        <v>4.0284102378100002</v>
      </c>
      <c r="D159">
        <v>2718087.5842499998</v>
      </c>
    </row>
    <row r="160" spans="1:4">
      <c r="A160" t="s">
        <v>983</v>
      </c>
      <c r="B160">
        <v>9.6255485466199993</v>
      </c>
      <c r="C160">
        <v>0</v>
      </c>
      <c r="D160">
        <v>146.42413086799999</v>
      </c>
    </row>
    <row r="161" spans="1:4">
      <c r="A161" t="s">
        <v>984</v>
      </c>
      <c r="B161">
        <v>98610.569772200004</v>
      </c>
      <c r="C161">
        <v>2021.79755368</v>
      </c>
      <c r="D161">
        <v>7325.5150358499995</v>
      </c>
    </row>
    <row r="162" spans="1:4">
      <c r="A162" t="s">
        <v>985</v>
      </c>
      <c r="B162">
        <v>4959.75579853</v>
      </c>
      <c r="C162">
        <v>160.52075990099999</v>
      </c>
      <c r="D162">
        <v>709.77934934300004</v>
      </c>
    </row>
    <row r="163" spans="1:4">
      <c r="A163" t="s">
        <v>986</v>
      </c>
      <c r="B163">
        <v>22324.745978800001</v>
      </c>
      <c r="C163">
        <v>838.73599325099997</v>
      </c>
      <c r="D163">
        <v>242.00776273599999</v>
      </c>
    </row>
    <row r="164" spans="1:4">
      <c r="A164" t="s">
        <v>987</v>
      </c>
      <c r="B164">
        <v>1513.2181371300001</v>
      </c>
      <c r="C164">
        <v>62.536509790099998</v>
      </c>
      <c r="D164">
        <v>38.151275364200004</v>
      </c>
    </row>
    <row r="165" spans="1:4">
      <c r="A165" t="s">
        <v>988</v>
      </c>
      <c r="B165">
        <v>8903.0958899899997</v>
      </c>
      <c r="C165">
        <v>301.45556965899999</v>
      </c>
      <c r="D165">
        <v>194.48112329400001</v>
      </c>
    </row>
    <row r="166" spans="1:4">
      <c r="A166" t="s">
        <v>989</v>
      </c>
      <c r="B166">
        <v>6384.2384152499999</v>
      </c>
      <c r="C166">
        <v>277.83059785099999</v>
      </c>
      <c r="D166">
        <v>169.55583971600001</v>
      </c>
    </row>
    <row r="167" spans="1:4">
      <c r="A167" t="s">
        <v>990</v>
      </c>
      <c r="B167">
        <v>5524.19353641</v>
      </c>
      <c r="C167">
        <v>196.91331595099999</v>
      </c>
      <c r="D167">
        <v>123.754280178</v>
      </c>
    </row>
    <row r="168" spans="1:4">
      <c r="A168" t="s">
        <v>991</v>
      </c>
      <c r="B168">
        <v>296388.20036399999</v>
      </c>
      <c r="C168">
        <v>0</v>
      </c>
      <c r="D168">
        <v>2591898.5898600002</v>
      </c>
    </row>
    <row r="169" spans="1:4">
      <c r="A169" t="s">
        <v>992</v>
      </c>
      <c r="B169">
        <v>204043.94253100001</v>
      </c>
      <c r="C169">
        <v>0</v>
      </c>
      <c r="D169">
        <v>1851179.7090799999</v>
      </c>
    </row>
    <row r="170" spans="1:4">
      <c r="A170" t="s">
        <v>993</v>
      </c>
      <c r="B170">
        <v>1469864.5043599999</v>
      </c>
      <c r="C170">
        <v>20136.641518600001</v>
      </c>
      <c r="D170">
        <v>64595.163507600002</v>
      </c>
    </row>
    <row r="171" spans="1:4">
      <c r="A171" t="s">
        <v>89</v>
      </c>
      <c r="B171">
        <v>0</v>
      </c>
      <c r="C171">
        <v>0</v>
      </c>
      <c r="D171">
        <v>0</v>
      </c>
    </row>
    <row r="172" spans="1:4">
      <c r="A172" t="s">
        <v>994</v>
      </c>
      <c r="B172">
        <v>1457.0786867899999</v>
      </c>
      <c r="C172">
        <v>0</v>
      </c>
      <c r="D172">
        <v>18377.519857399999</v>
      </c>
    </row>
    <row r="173" spans="1:4">
      <c r="A173" t="s">
        <v>995</v>
      </c>
      <c r="B173">
        <v>172577.353187</v>
      </c>
      <c r="C173">
        <v>0</v>
      </c>
      <c r="D173">
        <v>852784.24338100001</v>
      </c>
    </row>
    <row r="174" spans="1:4">
      <c r="A174" t="s">
        <v>30</v>
      </c>
      <c r="B174">
        <v>132939.57167599999</v>
      </c>
      <c r="C174">
        <v>2146.1401597399999</v>
      </c>
      <c r="D174">
        <v>23877.313263399999</v>
      </c>
    </row>
    <row r="175" spans="1:4">
      <c r="A175" t="s">
        <v>996</v>
      </c>
      <c r="B175">
        <v>823.00630871099997</v>
      </c>
      <c r="C175">
        <v>0</v>
      </c>
      <c r="D175">
        <v>131887.99266300001</v>
      </c>
    </row>
    <row r="176" spans="1:4">
      <c r="A176" t="s">
        <v>997</v>
      </c>
      <c r="B176">
        <v>1672.91303283</v>
      </c>
      <c r="C176">
        <v>46.615480651600002</v>
      </c>
      <c r="D176">
        <v>136.24245698999999</v>
      </c>
    </row>
    <row r="177" spans="1:4">
      <c r="A177" t="s">
        <v>90</v>
      </c>
      <c r="B177">
        <v>10702.874832</v>
      </c>
      <c r="C177">
        <v>197.28898791699999</v>
      </c>
      <c r="D177">
        <v>2077.1244185300002</v>
      </c>
    </row>
    <row r="178" spans="1:4">
      <c r="A178" t="s">
        <v>998</v>
      </c>
      <c r="B178">
        <v>20.133221093300001</v>
      </c>
      <c r="C178">
        <v>0.35456875315899999</v>
      </c>
      <c r="D178">
        <v>0</v>
      </c>
    </row>
    <row r="179" spans="1:4">
      <c r="A179" t="s">
        <v>999</v>
      </c>
      <c r="B179">
        <v>287659.32929099997</v>
      </c>
      <c r="C179">
        <v>5143.4149883500004</v>
      </c>
      <c r="D179">
        <v>48901.770484300003</v>
      </c>
    </row>
    <row r="180" spans="1:4">
      <c r="A180" t="s">
        <v>1000</v>
      </c>
      <c r="B180">
        <v>105929.31342400001</v>
      </c>
      <c r="C180">
        <v>1939.8166778299999</v>
      </c>
      <c r="D180">
        <v>12824.1934762</v>
      </c>
    </row>
    <row r="181" spans="1:4">
      <c r="A181" t="s">
        <v>760</v>
      </c>
      <c r="B181">
        <v>51957.7302872</v>
      </c>
      <c r="C181">
        <v>918.65042844200002</v>
      </c>
      <c r="D181">
        <v>15471.862870999999</v>
      </c>
    </row>
    <row r="182" spans="1:4">
      <c r="A182" t="s">
        <v>744</v>
      </c>
      <c r="B182">
        <v>17462.001924200002</v>
      </c>
      <c r="C182">
        <v>280.77375965800002</v>
      </c>
      <c r="D182">
        <v>6767.2052633900003</v>
      </c>
    </row>
    <row r="183" spans="1:4">
      <c r="A183" t="s">
        <v>821</v>
      </c>
      <c r="B183">
        <v>30130.9097182</v>
      </c>
      <c r="C183">
        <v>536.76905159499995</v>
      </c>
      <c r="D183">
        <v>13778.352880300001</v>
      </c>
    </row>
    <row r="184" spans="1:4">
      <c r="A184" t="s">
        <v>1001</v>
      </c>
      <c r="B184">
        <v>57276.535598100003</v>
      </c>
      <c r="C184">
        <v>686.61487466599999</v>
      </c>
      <c r="D184">
        <v>457.64145434699998</v>
      </c>
    </row>
    <row r="185" spans="1:4">
      <c r="A185" t="s">
        <v>1002</v>
      </c>
      <c r="B185">
        <v>575559.29357099999</v>
      </c>
      <c r="C185">
        <v>7301.7115914200003</v>
      </c>
      <c r="D185">
        <v>97965.740933299996</v>
      </c>
    </row>
    <row r="186" spans="1:4">
      <c r="A186" t="s">
        <v>1003</v>
      </c>
      <c r="B186">
        <v>221993.704474</v>
      </c>
      <c r="C186">
        <v>2861.44482801</v>
      </c>
      <c r="D186">
        <v>17952.873648199999</v>
      </c>
    </row>
    <row r="187" spans="1:4">
      <c r="A187" t="s">
        <v>1004</v>
      </c>
      <c r="B187">
        <v>720004.52714999998</v>
      </c>
      <c r="C187">
        <v>407.34217866</v>
      </c>
      <c r="D187">
        <v>5311698.1551000001</v>
      </c>
    </row>
    <row r="188" spans="1:4">
      <c r="A188" t="s">
        <v>1005</v>
      </c>
      <c r="B188">
        <v>2406.2644456899998</v>
      </c>
      <c r="C188">
        <v>74.744124226500006</v>
      </c>
      <c r="D188">
        <v>112.153483912</v>
      </c>
    </row>
    <row r="189" spans="1:4">
      <c r="A189" t="s">
        <v>1006</v>
      </c>
      <c r="B189">
        <v>208980.73533200001</v>
      </c>
      <c r="C189">
        <v>0</v>
      </c>
      <c r="D189">
        <v>4841208.1883199997</v>
      </c>
    </row>
    <row r="190" spans="1:4">
      <c r="A190" t="s">
        <v>1007</v>
      </c>
      <c r="B190">
        <v>1689.1605582100001</v>
      </c>
      <c r="C190">
        <v>37.343795429899998</v>
      </c>
      <c r="D190">
        <v>517.08627521999995</v>
      </c>
    </row>
    <row r="191" spans="1:4">
      <c r="A191" t="s">
        <v>1008</v>
      </c>
      <c r="B191">
        <v>552537.48858200002</v>
      </c>
      <c r="C191">
        <v>9646.7198265499992</v>
      </c>
      <c r="D191">
        <v>138236.57570300001</v>
      </c>
    </row>
    <row r="192" spans="1:4">
      <c r="A192" t="s">
        <v>1009</v>
      </c>
      <c r="B192">
        <v>81583.860301499997</v>
      </c>
      <c r="C192">
        <v>1302.51917114</v>
      </c>
      <c r="D192">
        <v>50879.616740199999</v>
      </c>
    </row>
    <row r="193" spans="1:4">
      <c r="A193" t="s">
        <v>1010</v>
      </c>
      <c r="B193">
        <v>142.84665781000001</v>
      </c>
      <c r="C193">
        <v>2.6403661723199998</v>
      </c>
      <c r="D193">
        <v>1.60711349367</v>
      </c>
    </row>
    <row r="194" spans="1:4">
      <c r="A194" t="s">
        <v>1011</v>
      </c>
      <c r="B194">
        <v>83764.531979599997</v>
      </c>
      <c r="C194">
        <v>2202.6521684300001</v>
      </c>
      <c r="D194">
        <v>1300.59015479</v>
      </c>
    </row>
    <row r="195" spans="1:4">
      <c r="A195" t="s">
        <v>1012</v>
      </c>
      <c r="B195">
        <v>5119.6773772500001</v>
      </c>
      <c r="C195">
        <v>173.41621648899999</v>
      </c>
      <c r="D195">
        <v>200.42020759299999</v>
      </c>
    </row>
    <row r="196" spans="1:4">
      <c r="A196" t="s">
        <v>1013</v>
      </c>
      <c r="B196">
        <v>4379.8575549500001</v>
      </c>
      <c r="C196">
        <v>64.388826262099997</v>
      </c>
      <c r="D196">
        <v>6296.8718286900003</v>
      </c>
    </row>
    <row r="197" spans="1:4">
      <c r="A197" t="s">
        <v>91</v>
      </c>
      <c r="B197">
        <v>433806.26766900002</v>
      </c>
      <c r="C197">
        <v>235.097688027</v>
      </c>
      <c r="D197">
        <v>3773242.3337699999</v>
      </c>
    </row>
    <row r="198" spans="1:4">
      <c r="A198" t="s">
        <v>1014</v>
      </c>
      <c r="B198">
        <v>4126.9748449099998</v>
      </c>
      <c r="C198">
        <v>75.751480498500001</v>
      </c>
      <c r="D198">
        <v>5451.2901334799999</v>
      </c>
    </row>
    <row r="199" spans="1:4">
      <c r="A199" t="s">
        <v>1015</v>
      </c>
      <c r="B199">
        <v>6085.7298441299999</v>
      </c>
      <c r="C199">
        <v>161.592319788</v>
      </c>
      <c r="D199">
        <v>602.70022818100006</v>
      </c>
    </row>
    <row r="200" spans="1:4">
      <c r="A200" t="s">
        <v>1016</v>
      </c>
      <c r="B200">
        <v>92344.257833299998</v>
      </c>
      <c r="C200">
        <v>0</v>
      </c>
      <c r="D200">
        <v>945326.76706400001</v>
      </c>
    </row>
    <row r="201" spans="1:4">
      <c r="A201" t="s">
        <v>1017</v>
      </c>
      <c r="B201">
        <v>335594.51910400001</v>
      </c>
      <c r="C201">
        <v>2198.0652371699998</v>
      </c>
      <c r="D201">
        <v>16465406.3796</v>
      </c>
    </row>
    <row r="202" spans="1:4">
      <c r="A202" t="s">
        <v>1018</v>
      </c>
      <c r="B202">
        <v>2008137.04128</v>
      </c>
      <c r="C202">
        <v>22445.3783893</v>
      </c>
      <c r="D202">
        <v>413030.18511000002</v>
      </c>
    </row>
    <row r="203" spans="1:4">
      <c r="A203" t="s">
        <v>1019</v>
      </c>
      <c r="B203">
        <v>276304.20568299998</v>
      </c>
      <c r="C203">
        <v>3120.7780566599999</v>
      </c>
      <c r="D203">
        <v>69561.695189000005</v>
      </c>
    </row>
    <row r="204" spans="1:4">
      <c r="A204" t="s">
        <v>1020</v>
      </c>
      <c r="B204">
        <v>849565.21893099998</v>
      </c>
      <c r="C204">
        <v>9502.8778080499997</v>
      </c>
      <c r="D204">
        <v>315236.870047</v>
      </c>
    </row>
    <row r="205" spans="1:4">
      <c r="A205" t="s">
        <v>92</v>
      </c>
      <c r="B205">
        <v>362621.077919</v>
      </c>
      <c r="C205">
        <v>3972.5123857600001</v>
      </c>
      <c r="D205">
        <v>44130.680511899998</v>
      </c>
    </row>
    <row r="206" spans="1:4">
      <c r="A206" t="s">
        <v>1021</v>
      </c>
      <c r="B206">
        <v>692985.41297299997</v>
      </c>
      <c r="C206">
        <v>20048.197601299998</v>
      </c>
      <c r="D206">
        <v>31932.714579700001</v>
      </c>
    </row>
    <row r="207" spans="1:4">
      <c r="A207" t="s">
        <v>1022</v>
      </c>
      <c r="B207">
        <v>159431.42095100001</v>
      </c>
      <c r="C207">
        <v>1718.6739316999999</v>
      </c>
      <c r="D207">
        <v>45136.216537300003</v>
      </c>
    </row>
    <row r="208" spans="1:4">
      <c r="A208" t="s">
        <v>1023</v>
      </c>
      <c r="B208">
        <v>416464.30702499999</v>
      </c>
      <c r="C208">
        <v>4314.8070750099996</v>
      </c>
      <c r="D208">
        <v>12571058.529999999</v>
      </c>
    </row>
    <row r="209" spans="1:4">
      <c r="A209" t="s">
        <v>1024</v>
      </c>
      <c r="B209">
        <v>7953015.3312299997</v>
      </c>
      <c r="C209">
        <v>158477.66041700001</v>
      </c>
      <c r="D209">
        <v>30348596.441399999</v>
      </c>
    </row>
    <row r="210" spans="1:4">
      <c r="A210" t="s">
        <v>1025</v>
      </c>
      <c r="B210">
        <v>21727.5032799</v>
      </c>
      <c r="C210">
        <v>555.94985608900004</v>
      </c>
      <c r="D210">
        <v>1246.52458194</v>
      </c>
    </row>
    <row r="211" spans="1:4">
      <c r="A211" t="s">
        <v>1026</v>
      </c>
      <c r="B211">
        <v>2467.5319009499999</v>
      </c>
      <c r="C211">
        <v>85.677519378599996</v>
      </c>
      <c r="D211">
        <v>137.17624586400001</v>
      </c>
    </row>
    <row r="212" spans="1:4">
      <c r="A212" t="s">
        <v>1027</v>
      </c>
      <c r="B212">
        <v>0.89238899280600004</v>
      </c>
      <c r="C212">
        <v>0</v>
      </c>
      <c r="D212">
        <v>81.386087482999997</v>
      </c>
    </row>
    <row r="213" spans="1:4">
      <c r="A213" t="s">
        <v>1028</v>
      </c>
      <c r="B213">
        <v>2466.6395119600002</v>
      </c>
      <c r="C213">
        <v>85.677519378599996</v>
      </c>
      <c r="D213">
        <v>115.23997916899999</v>
      </c>
    </row>
    <row r="214" spans="1:4">
      <c r="A214" t="s">
        <v>1029</v>
      </c>
      <c r="B214">
        <v>7456.2144051499999</v>
      </c>
      <c r="C214">
        <v>86.672054315699995</v>
      </c>
      <c r="D214">
        <v>115748.967559</v>
      </c>
    </row>
    <row r="215" spans="1:4">
      <c r="A215" t="s">
        <v>93</v>
      </c>
      <c r="B215">
        <v>219254.55494100001</v>
      </c>
      <c r="C215">
        <v>636.36251970399996</v>
      </c>
      <c r="D215">
        <v>17774733.931400001</v>
      </c>
    </row>
    <row r="216" spans="1:4">
      <c r="A216" t="s">
        <v>1030</v>
      </c>
      <c r="B216">
        <v>0</v>
      </c>
      <c r="C216">
        <v>0</v>
      </c>
      <c r="D216">
        <v>0</v>
      </c>
    </row>
    <row r="217" spans="1:4">
      <c r="A217" t="s">
        <v>1031</v>
      </c>
      <c r="B217">
        <v>114656.756989</v>
      </c>
      <c r="C217">
        <v>195.835846382</v>
      </c>
      <c r="D217">
        <v>258338.032037</v>
      </c>
    </row>
    <row r="218" spans="1:4">
      <c r="A218" t="s">
        <v>753</v>
      </c>
      <c r="B218">
        <v>55242.597524299999</v>
      </c>
      <c r="C218">
        <v>0</v>
      </c>
      <c r="D218">
        <v>18703558.5693</v>
      </c>
    </row>
    <row r="219" spans="1:4">
      <c r="A219" t="s">
        <v>1032</v>
      </c>
      <c r="B219">
        <v>1274.7377284199999</v>
      </c>
      <c r="C219">
        <v>11.073177494399999</v>
      </c>
      <c r="D219">
        <v>17482.992153800002</v>
      </c>
    </row>
    <row r="220" spans="1:4">
      <c r="A220" t="s">
        <v>1033</v>
      </c>
      <c r="B220">
        <v>30253.637288499998</v>
      </c>
      <c r="C220">
        <v>0</v>
      </c>
      <c r="D220">
        <v>504130.80246500002</v>
      </c>
    </row>
    <row r="221" spans="1:4">
      <c r="A221" t="s">
        <v>1034</v>
      </c>
      <c r="B221">
        <v>10956.6207313</v>
      </c>
      <c r="C221">
        <v>284.762196571</v>
      </c>
      <c r="D221">
        <v>5734.9787575700002</v>
      </c>
    </row>
    <row r="222" spans="1:4">
      <c r="A222" t="s">
        <v>829</v>
      </c>
      <c r="B222">
        <v>79773.704416199995</v>
      </c>
      <c r="C222">
        <v>2082.0168636200001</v>
      </c>
      <c r="D222">
        <v>328029.30439900002</v>
      </c>
    </row>
    <row r="223" spans="1:4">
      <c r="A223" t="s">
        <v>1035</v>
      </c>
      <c r="B223">
        <v>21529.442395900001</v>
      </c>
      <c r="C223">
        <v>99.049802778</v>
      </c>
      <c r="D223">
        <v>140757.65576600001</v>
      </c>
    </row>
    <row r="224" spans="1:4">
      <c r="A224" t="s">
        <v>1036</v>
      </c>
      <c r="B224">
        <v>8707.7991275799995</v>
      </c>
      <c r="C224">
        <v>153.41137263300001</v>
      </c>
      <c r="D224">
        <v>0</v>
      </c>
    </row>
    <row r="225" spans="1:4">
      <c r="A225" t="s">
        <v>1037</v>
      </c>
      <c r="B225">
        <v>245697.72797199999</v>
      </c>
      <c r="C225">
        <v>2886.0480992799999</v>
      </c>
      <c r="D225">
        <v>6472846.81678</v>
      </c>
    </row>
    <row r="226" spans="1:4">
      <c r="A226" t="s">
        <v>1038</v>
      </c>
      <c r="B226">
        <v>394345.84873999999</v>
      </c>
      <c r="C226">
        <v>4261.5435545999999</v>
      </c>
      <c r="D226">
        <v>210904.37624000001</v>
      </c>
    </row>
    <row r="227" spans="1:4">
      <c r="A227" t="s">
        <v>828</v>
      </c>
      <c r="B227">
        <v>20797.343671899998</v>
      </c>
      <c r="C227">
        <v>437.09958906000003</v>
      </c>
      <c r="D227">
        <v>0</v>
      </c>
    </row>
    <row r="228" spans="1:4">
      <c r="A228" t="s">
        <v>1039</v>
      </c>
      <c r="B228">
        <v>4589.6612262099998</v>
      </c>
      <c r="C228">
        <v>52.1657838183</v>
      </c>
      <c r="D228">
        <v>9372.4437867500001</v>
      </c>
    </row>
    <row r="229" spans="1:4">
      <c r="A229" t="s">
        <v>1040</v>
      </c>
      <c r="B229">
        <v>86500.720352400007</v>
      </c>
      <c r="C229">
        <v>1376.7776926900001</v>
      </c>
      <c r="D229">
        <v>414546.45833499997</v>
      </c>
    </row>
    <row r="230" spans="1:4">
      <c r="A230" t="s">
        <v>1041</v>
      </c>
      <c r="B230">
        <v>15934.186161</v>
      </c>
      <c r="C230">
        <v>12.863602852</v>
      </c>
      <c r="D230">
        <v>447770.87046800001</v>
      </c>
    </row>
    <row r="231" spans="1:4">
      <c r="A231" t="s">
        <v>1042</v>
      </c>
      <c r="B231">
        <v>8167.0982869899999</v>
      </c>
      <c r="C231">
        <v>144.49685112899999</v>
      </c>
      <c r="D231">
        <v>220760.05317</v>
      </c>
    </row>
    <row r="232" spans="1:4">
      <c r="A232" t="s">
        <v>1043</v>
      </c>
      <c r="B232">
        <v>27621.973673299999</v>
      </c>
      <c r="C232">
        <v>364.16988082799998</v>
      </c>
      <c r="D232">
        <v>197844.34349</v>
      </c>
    </row>
    <row r="233" spans="1:4">
      <c r="A233" t="s">
        <v>1044</v>
      </c>
      <c r="B233">
        <v>121.43399200899999</v>
      </c>
      <c r="C233">
        <v>1.6319235327899999</v>
      </c>
      <c r="D233">
        <v>0</v>
      </c>
    </row>
    <row r="234" spans="1:4">
      <c r="A234" t="s">
        <v>1045</v>
      </c>
      <c r="B234">
        <v>64506.749733700002</v>
      </c>
      <c r="C234">
        <v>1359.0056939799999</v>
      </c>
      <c r="D234">
        <v>5203.3782696999997</v>
      </c>
    </row>
    <row r="235" spans="1:4">
      <c r="A235" t="s">
        <v>1046</v>
      </c>
      <c r="B235">
        <v>43059.596108700003</v>
      </c>
      <c r="C235">
        <v>766.488387536</v>
      </c>
      <c r="D235">
        <v>0</v>
      </c>
    </row>
    <row r="236" spans="1:4">
      <c r="A236" t="s">
        <v>1047</v>
      </c>
      <c r="B236">
        <v>289419.20777699997</v>
      </c>
      <c r="C236">
        <v>3694.4655744800002</v>
      </c>
      <c r="D236">
        <v>28041.029923599999</v>
      </c>
    </row>
    <row r="237" spans="1:4">
      <c r="A237" t="s">
        <v>1048</v>
      </c>
      <c r="B237">
        <v>32182.808194000001</v>
      </c>
      <c r="C237">
        <v>0</v>
      </c>
      <c r="D237">
        <v>439499.08607999998</v>
      </c>
    </row>
    <row r="238" spans="1:4">
      <c r="A238" t="s">
        <v>825</v>
      </c>
      <c r="B238">
        <v>87909.506839399997</v>
      </c>
      <c r="C238">
        <v>179.459440261</v>
      </c>
      <c r="D238">
        <v>923986.495031</v>
      </c>
    </row>
    <row r="239" spans="1:4">
      <c r="A239" t="s">
        <v>1049</v>
      </c>
      <c r="B239">
        <v>7621.5152519699996</v>
      </c>
      <c r="C239">
        <v>6.5672398266299998</v>
      </c>
      <c r="D239">
        <v>261176.937164</v>
      </c>
    </row>
    <row r="240" spans="1:4">
      <c r="A240" t="s">
        <v>94</v>
      </c>
      <c r="B240">
        <v>450112.916279</v>
      </c>
      <c r="C240">
        <v>5155.2865042499998</v>
      </c>
      <c r="D240">
        <v>0</v>
      </c>
    </row>
    <row r="241" spans="1:4">
      <c r="A241" t="s">
        <v>1050</v>
      </c>
      <c r="B241">
        <v>39427.609642000003</v>
      </c>
      <c r="C241">
        <v>887.41507240600004</v>
      </c>
      <c r="D241">
        <v>2286.7704707299999</v>
      </c>
    </row>
    <row r="242" spans="1:4">
      <c r="A242" t="s">
        <v>1051</v>
      </c>
      <c r="B242">
        <v>17594.990607899999</v>
      </c>
      <c r="C242">
        <v>130.42141038899999</v>
      </c>
      <c r="D242">
        <v>104.263817966</v>
      </c>
    </row>
    <row r="243" spans="1:4">
      <c r="A243" t="s">
        <v>1052</v>
      </c>
      <c r="B243">
        <v>1745752.10882</v>
      </c>
      <c r="C243">
        <v>13638.7305423</v>
      </c>
      <c r="D243">
        <v>24067447.1844</v>
      </c>
    </row>
    <row r="244" spans="1:4">
      <c r="A244" t="s">
        <v>1053</v>
      </c>
      <c r="B244">
        <v>2162.03634483</v>
      </c>
      <c r="C244">
        <v>51.656090575599997</v>
      </c>
      <c r="D244">
        <v>0</v>
      </c>
    </row>
    <row r="245" spans="1:4">
      <c r="A245" t="s">
        <v>1054</v>
      </c>
      <c r="B245">
        <v>14397.0703973</v>
      </c>
      <c r="C245">
        <v>0</v>
      </c>
      <c r="D245">
        <v>493938.914284</v>
      </c>
    </row>
    <row r="246" spans="1:4">
      <c r="A246" t="s">
        <v>1055</v>
      </c>
      <c r="B246">
        <v>3382.3718048999999</v>
      </c>
      <c r="C246">
        <v>103.72625759899999</v>
      </c>
      <c r="D246">
        <v>180.29008742400001</v>
      </c>
    </row>
    <row r="247" spans="1:4">
      <c r="A247" t="s">
        <v>1056</v>
      </c>
      <c r="B247">
        <v>418.22737634499998</v>
      </c>
      <c r="C247">
        <v>13.7144742684</v>
      </c>
      <c r="D247">
        <v>508.75485386700001</v>
      </c>
    </row>
    <row r="248" spans="1:4">
      <c r="A248" t="s">
        <v>1057</v>
      </c>
      <c r="B248">
        <v>4296.69474627</v>
      </c>
      <c r="C248">
        <v>49.869893011000002</v>
      </c>
      <c r="D248">
        <v>24611.390071400001</v>
      </c>
    </row>
    <row r="249" spans="1:4">
      <c r="A249" t="s">
        <v>1058</v>
      </c>
      <c r="B249">
        <v>16221.6434869</v>
      </c>
      <c r="C249">
        <v>0</v>
      </c>
      <c r="D249">
        <v>544055.60395400005</v>
      </c>
    </row>
    <row r="250" spans="1:4">
      <c r="A250" t="s">
        <v>1059</v>
      </c>
      <c r="B250">
        <v>6181.1257888299997</v>
      </c>
      <c r="C250">
        <v>5.8939840777199999</v>
      </c>
      <c r="D250">
        <v>127332.859582</v>
      </c>
    </row>
    <row r="251" spans="1:4">
      <c r="A251" t="s">
        <v>1060</v>
      </c>
      <c r="B251">
        <v>6894.8268587800003</v>
      </c>
      <c r="C251">
        <v>3.1541604316499998</v>
      </c>
      <c r="D251">
        <v>1229665.42576</v>
      </c>
    </row>
    <row r="252" spans="1:4">
      <c r="A252" t="s">
        <v>1061</v>
      </c>
      <c r="B252">
        <v>20846.0700321</v>
      </c>
      <c r="C252">
        <v>196.23821275</v>
      </c>
      <c r="D252">
        <v>137093.57607899999</v>
      </c>
    </row>
    <row r="253" spans="1:4">
      <c r="A253" t="s">
        <v>1062</v>
      </c>
      <c r="B253">
        <v>71693.524234500001</v>
      </c>
      <c r="C253">
        <v>856.61439636</v>
      </c>
      <c r="D253">
        <v>639935.76778500003</v>
      </c>
    </row>
    <row r="254" spans="1:4">
      <c r="A254" t="s">
        <v>1063</v>
      </c>
      <c r="B254">
        <v>6934.0454035299999</v>
      </c>
      <c r="C254">
        <v>174.18658403500001</v>
      </c>
      <c r="D254">
        <v>0</v>
      </c>
    </row>
    <row r="255" spans="1:4">
      <c r="A255" t="s">
        <v>1064</v>
      </c>
      <c r="B255">
        <v>8749.6101835299996</v>
      </c>
      <c r="C255">
        <v>0</v>
      </c>
      <c r="D255">
        <v>97751.212637499993</v>
      </c>
    </row>
    <row r="256" spans="1:4">
      <c r="A256" t="s">
        <v>1065</v>
      </c>
      <c r="B256">
        <v>26404.353746500001</v>
      </c>
      <c r="C256">
        <v>33.963024700799998</v>
      </c>
      <c r="D256">
        <v>714971.21717399999</v>
      </c>
    </row>
    <row r="257" spans="1:4">
      <c r="A257" t="s">
        <v>1066</v>
      </c>
      <c r="B257">
        <v>7625.0076522899999</v>
      </c>
      <c r="C257">
        <v>236.33542532800001</v>
      </c>
      <c r="D257">
        <v>662.62778988499997</v>
      </c>
    </row>
    <row r="258" spans="1:4">
      <c r="A258" t="s">
        <v>1067</v>
      </c>
      <c r="B258">
        <v>11721.9144153</v>
      </c>
      <c r="C258">
        <v>444.46606376199998</v>
      </c>
      <c r="D258">
        <v>249.31782009899999</v>
      </c>
    </row>
    <row r="259" spans="1:4">
      <c r="A259" t="s">
        <v>1068</v>
      </c>
      <c r="B259">
        <v>7574.9495622699997</v>
      </c>
      <c r="C259">
        <v>220.05390568499999</v>
      </c>
      <c r="D259">
        <v>525.39773814</v>
      </c>
    </row>
    <row r="260" spans="1:4">
      <c r="A260" t="s">
        <v>1069</v>
      </c>
      <c r="B260">
        <v>26022.082100899999</v>
      </c>
      <c r="C260">
        <v>501.18598501100001</v>
      </c>
      <c r="D260">
        <v>303.29073349800001</v>
      </c>
    </row>
    <row r="261" spans="1:4">
      <c r="A261" t="s">
        <v>1070</v>
      </c>
      <c r="B261">
        <v>3309.7014733300002</v>
      </c>
      <c r="C261">
        <v>48.246281122699997</v>
      </c>
      <c r="D261">
        <v>230.30751210599999</v>
      </c>
    </row>
    <row r="262" spans="1:4">
      <c r="A262" t="s">
        <v>1071</v>
      </c>
      <c r="B262">
        <v>3435.6432372899999</v>
      </c>
      <c r="C262">
        <v>183.097510594</v>
      </c>
      <c r="D262">
        <v>5812.7990749999999</v>
      </c>
    </row>
    <row r="263" spans="1:4">
      <c r="A263" t="s">
        <v>1072</v>
      </c>
      <c r="B263">
        <v>269620.148598</v>
      </c>
      <c r="C263">
        <v>4760.8196407799996</v>
      </c>
      <c r="D263">
        <v>61184.647765299997</v>
      </c>
    </row>
    <row r="264" spans="1:4">
      <c r="A264" t="s">
        <v>822</v>
      </c>
      <c r="B264">
        <v>65064.121116000002</v>
      </c>
      <c r="C264">
        <v>1838.2509082500001</v>
      </c>
      <c r="D264">
        <v>265826.04678400001</v>
      </c>
    </row>
    <row r="265" spans="1:4">
      <c r="A265" t="s">
        <v>1073</v>
      </c>
      <c r="B265">
        <v>13291.0405307</v>
      </c>
      <c r="C265">
        <v>0</v>
      </c>
      <c r="D265">
        <v>2063208.7606500001</v>
      </c>
    </row>
    <row r="266" spans="1:4">
      <c r="A266" t="s">
        <v>1074</v>
      </c>
      <c r="B266">
        <v>1170.05055556</v>
      </c>
      <c r="C266">
        <v>5.7544436674700004</v>
      </c>
      <c r="D266">
        <v>196045.807535</v>
      </c>
    </row>
    <row r="267" spans="1:4">
      <c r="A267" t="s">
        <v>1075</v>
      </c>
      <c r="B267">
        <v>178124.34371799999</v>
      </c>
      <c r="C267">
        <v>3154.3242321299999</v>
      </c>
      <c r="D267">
        <v>7972.2345705999996</v>
      </c>
    </row>
    <row r="268" spans="1:4">
      <c r="A268" t="s">
        <v>1076</v>
      </c>
      <c r="B268">
        <v>89306.404526300001</v>
      </c>
      <c r="C268">
        <v>1453.5734453699999</v>
      </c>
      <c r="D268">
        <v>82689.5983041</v>
      </c>
    </row>
    <row r="269" spans="1:4">
      <c r="A269" t="s">
        <v>1077</v>
      </c>
      <c r="B269">
        <v>96413.197402899998</v>
      </c>
      <c r="C269">
        <v>1659.5963791700001</v>
      </c>
      <c r="D269">
        <v>48896.562625500002</v>
      </c>
    </row>
    <row r="270" spans="1:4">
      <c r="A270" t="s">
        <v>748</v>
      </c>
      <c r="B270">
        <v>7346.4592129700004</v>
      </c>
      <c r="C270">
        <v>59.509040343700001</v>
      </c>
      <c r="D270">
        <v>27044.256854800002</v>
      </c>
    </row>
    <row r="271" spans="1:4">
      <c r="A271" t="s">
        <v>1078</v>
      </c>
      <c r="B271">
        <v>873.48079751199998</v>
      </c>
      <c r="C271">
        <v>27.422535744499999</v>
      </c>
      <c r="D271">
        <v>1039.47163237</v>
      </c>
    </row>
    <row r="272" spans="1:4">
      <c r="A272" t="s">
        <v>1146</v>
      </c>
      <c r="B272">
        <v>26375.578618200001</v>
      </c>
      <c r="C272">
        <v>417.37750805799999</v>
      </c>
      <c r="D272">
        <v>11253.239335800001</v>
      </c>
    </row>
    <row r="273" spans="1:4">
      <c r="A273" t="s">
        <v>1079</v>
      </c>
      <c r="B273">
        <v>485.237542523</v>
      </c>
      <c r="C273">
        <v>5.7516199426199996</v>
      </c>
      <c r="D273">
        <v>22618.306628900002</v>
      </c>
    </row>
    <row r="274" spans="1:4">
      <c r="A274" t="s">
        <v>1080</v>
      </c>
      <c r="B274">
        <v>15761.982949900001</v>
      </c>
      <c r="C274">
        <v>0</v>
      </c>
      <c r="D274">
        <v>1920145.52562</v>
      </c>
    </row>
    <row r="275" spans="1:4">
      <c r="A275" t="s">
        <v>1081</v>
      </c>
      <c r="B275">
        <v>8551.0535198199996</v>
      </c>
      <c r="C275">
        <v>455.64638942099998</v>
      </c>
      <c r="D275">
        <v>1056.6240312</v>
      </c>
    </row>
    <row r="276" spans="1:4">
      <c r="A276" t="s">
        <v>1082</v>
      </c>
      <c r="B276">
        <v>58915.093588800002</v>
      </c>
      <c r="C276">
        <v>568.51736471699996</v>
      </c>
      <c r="D276">
        <v>468319.12696800003</v>
      </c>
    </row>
    <row r="277" spans="1:4">
      <c r="A277" t="s">
        <v>1083</v>
      </c>
      <c r="B277">
        <v>2339.4758044700002</v>
      </c>
      <c r="C277">
        <v>0</v>
      </c>
      <c r="D277">
        <v>220601.32110299999</v>
      </c>
    </row>
    <row r="278" spans="1:4">
      <c r="A278" t="s">
        <v>1084</v>
      </c>
      <c r="B278">
        <v>11371.7470352</v>
      </c>
      <c r="C278">
        <v>0</v>
      </c>
      <c r="D278">
        <v>131339.04484399999</v>
      </c>
    </row>
    <row r="279" spans="1:4">
      <c r="A279" t="s">
        <v>1085</v>
      </c>
      <c r="B279">
        <v>21535.5249678</v>
      </c>
      <c r="C279">
        <v>257.61488918800001</v>
      </c>
      <c r="D279">
        <v>61206.997464</v>
      </c>
    </row>
    <row r="280" spans="1:4">
      <c r="A280" t="s">
        <v>1086</v>
      </c>
      <c r="B280">
        <v>2264.6731437499998</v>
      </c>
      <c r="C280">
        <v>65.571120537200002</v>
      </c>
      <c r="D280">
        <v>64818.159060600003</v>
      </c>
    </row>
    <row r="281" spans="1:4">
      <c r="A281" t="s">
        <v>1087</v>
      </c>
      <c r="B281">
        <v>262.985438375</v>
      </c>
      <c r="C281">
        <v>4.9075413125000003</v>
      </c>
      <c r="D281">
        <v>0.19054605086199999</v>
      </c>
    </row>
    <row r="282" spans="1:4">
      <c r="A282" t="s">
        <v>1088</v>
      </c>
      <c r="B282">
        <v>74450.374849400003</v>
      </c>
      <c r="C282">
        <v>0</v>
      </c>
      <c r="D282">
        <v>4512895.6957099997</v>
      </c>
    </row>
    <row r="283" spans="1:4">
      <c r="A283" t="s">
        <v>1089</v>
      </c>
      <c r="B283">
        <v>68981.206905700004</v>
      </c>
      <c r="C283">
        <v>1483.35876128</v>
      </c>
      <c r="D283">
        <v>168650.650093</v>
      </c>
    </row>
    <row r="284" spans="1:4">
      <c r="A284" t="s">
        <v>824</v>
      </c>
      <c r="B284">
        <v>17486.043692700001</v>
      </c>
      <c r="C284">
        <v>55.638247765700001</v>
      </c>
      <c r="D284">
        <v>65423.7686894</v>
      </c>
    </row>
    <row r="285" spans="1:4">
      <c r="A285" t="s">
        <v>1090</v>
      </c>
      <c r="B285">
        <v>920855.12596700003</v>
      </c>
      <c r="C285">
        <v>15936.5507077</v>
      </c>
      <c r="D285">
        <v>321070.28748499998</v>
      </c>
    </row>
    <row r="286" spans="1:4">
      <c r="A286" t="s">
        <v>1091</v>
      </c>
      <c r="B286">
        <v>12376.8386264</v>
      </c>
      <c r="C286">
        <v>0</v>
      </c>
      <c r="D286">
        <v>480435.58345199999</v>
      </c>
    </row>
    <row r="287" spans="1:4">
      <c r="A287" t="s">
        <v>1092</v>
      </c>
      <c r="B287">
        <v>0</v>
      </c>
      <c r="C287">
        <v>0</v>
      </c>
      <c r="D287">
        <v>0</v>
      </c>
    </row>
    <row r="288" spans="1:4">
      <c r="A288" t="s">
        <v>95</v>
      </c>
      <c r="B288">
        <v>22190.284417800001</v>
      </c>
      <c r="C288">
        <v>0</v>
      </c>
      <c r="D288">
        <v>35757.323576700001</v>
      </c>
    </row>
    <row r="289" spans="1:4">
      <c r="A289" t="s">
        <v>1093</v>
      </c>
      <c r="B289">
        <v>116640.509307</v>
      </c>
      <c r="C289">
        <v>2247.8526958299999</v>
      </c>
      <c r="D289">
        <v>13432.3166707</v>
      </c>
    </row>
    <row r="290" spans="1:4">
      <c r="A290" t="s">
        <v>1094</v>
      </c>
      <c r="B290">
        <v>486829.91165600001</v>
      </c>
      <c r="C290">
        <v>8515.3467524999996</v>
      </c>
      <c r="D290">
        <v>896394.91183700005</v>
      </c>
    </row>
    <row r="291" spans="1:4">
      <c r="A291" t="s">
        <v>1095</v>
      </c>
      <c r="B291">
        <v>11679.5470064</v>
      </c>
      <c r="C291">
        <v>227.926474724</v>
      </c>
      <c r="D291">
        <v>827.39798565199999</v>
      </c>
    </row>
    <row r="292" spans="1:4">
      <c r="A292" t="s">
        <v>1096</v>
      </c>
      <c r="B292">
        <v>104960.96230100001</v>
      </c>
      <c r="C292">
        <v>2019.9262211099999</v>
      </c>
      <c r="D292">
        <v>12604.918685000001</v>
      </c>
    </row>
    <row r="293" spans="1:4">
      <c r="A293" t="s">
        <v>1097</v>
      </c>
      <c r="B293">
        <v>224665.33448600001</v>
      </c>
      <c r="C293">
        <v>0</v>
      </c>
      <c r="D293">
        <v>6283365.1375599997</v>
      </c>
    </row>
    <row r="294" spans="1:4">
      <c r="A294" t="s">
        <v>1098</v>
      </c>
      <c r="B294">
        <v>6345.4567016700003</v>
      </c>
      <c r="C294">
        <v>0</v>
      </c>
      <c r="D294">
        <v>743404.19966599997</v>
      </c>
    </row>
    <row r="295" spans="1:4">
      <c r="A295" t="s">
        <v>1099</v>
      </c>
      <c r="B295">
        <v>199857.737207</v>
      </c>
      <c r="C295">
        <v>2136.9067681400002</v>
      </c>
      <c r="D295">
        <v>3622521.5464900001</v>
      </c>
    </row>
    <row r="296" spans="1:4">
      <c r="A296" t="s">
        <v>1100</v>
      </c>
      <c r="B296">
        <v>62990.042807400001</v>
      </c>
      <c r="C296">
        <v>898.66709727399996</v>
      </c>
      <c r="D296">
        <v>40081.247842700002</v>
      </c>
    </row>
    <row r="297" spans="1:4">
      <c r="A297" t="s">
        <v>1101</v>
      </c>
      <c r="B297">
        <v>21772.7149049</v>
      </c>
      <c r="C297">
        <v>0</v>
      </c>
      <c r="D297">
        <v>6297533.3972300002</v>
      </c>
    </row>
    <row r="298" spans="1:4">
      <c r="A298" t="s">
        <v>1102</v>
      </c>
      <c r="B298">
        <v>231.83889032100001</v>
      </c>
      <c r="C298">
        <v>7.7289487936199999</v>
      </c>
      <c r="D298">
        <v>254.617454337</v>
      </c>
    </row>
    <row r="299" spans="1:4">
      <c r="A299" t="s">
        <v>758</v>
      </c>
      <c r="B299">
        <v>245475.11078399999</v>
      </c>
      <c r="C299">
        <v>155.184737216</v>
      </c>
      <c r="D299">
        <v>8789407.1005199999</v>
      </c>
    </row>
    <row r="300" spans="1:4">
      <c r="A300" t="s">
        <v>1103</v>
      </c>
      <c r="B300">
        <v>83604.626083499999</v>
      </c>
      <c r="C300">
        <v>2723.7761409999998</v>
      </c>
      <c r="D300">
        <v>3153.23137924</v>
      </c>
    </row>
    <row r="301" spans="1:4">
      <c r="A301" t="s">
        <v>1104</v>
      </c>
      <c r="B301">
        <v>59455.157762100003</v>
      </c>
      <c r="C301">
        <v>690.06137702000001</v>
      </c>
      <c r="D301">
        <v>0</v>
      </c>
    </row>
    <row r="302" spans="1:4">
      <c r="A302" t="s">
        <v>1105</v>
      </c>
      <c r="B302">
        <v>180781.85775900001</v>
      </c>
      <c r="C302">
        <v>2116.0688736900001</v>
      </c>
      <c r="D302">
        <v>179000.14559199999</v>
      </c>
    </row>
    <row r="303" spans="1:4">
      <c r="A303" t="s">
        <v>1106</v>
      </c>
      <c r="B303">
        <v>35908.6052948</v>
      </c>
      <c r="C303">
        <v>0</v>
      </c>
      <c r="D303">
        <v>9939057.9918099996</v>
      </c>
    </row>
    <row r="304" spans="1:4">
      <c r="A304" t="s">
        <v>1107</v>
      </c>
      <c r="B304">
        <v>3683.2977687799998</v>
      </c>
      <c r="C304">
        <v>71.949386607099996</v>
      </c>
      <c r="D304">
        <v>297.48637256900003</v>
      </c>
    </row>
    <row r="305" spans="1:4">
      <c r="A305" t="s">
        <v>96</v>
      </c>
      <c r="B305">
        <v>67557.534916100005</v>
      </c>
      <c r="C305">
        <v>800.24587469100004</v>
      </c>
      <c r="D305">
        <v>215.35893106699999</v>
      </c>
    </row>
    <row r="306" spans="1:4">
      <c r="A306" t="s">
        <v>1108</v>
      </c>
      <c r="B306">
        <v>3853.08048121</v>
      </c>
      <c r="C306">
        <v>44.533462508299998</v>
      </c>
      <c r="D306">
        <v>2952.29907774</v>
      </c>
    </row>
    <row r="307" spans="1:4">
      <c r="A307" t="s">
        <v>1109</v>
      </c>
      <c r="B307">
        <v>27870.0799606</v>
      </c>
      <c r="C307">
        <v>0</v>
      </c>
      <c r="D307">
        <v>1953683.4747599999</v>
      </c>
    </row>
    <row r="308" spans="1:4">
      <c r="A308" t="s">
        <v>1110</v>
      </c>
      <c r="B308">
        <v>6178.3795385699996</v>
      </c>
      <c r="C308">
        <v>202.67752878100001</v>
      </c>
      <c r="D308">
        <v>769.13074188500002</v>
      </c>
    </row>
    <row r="309" spans="1:4">
      <c r="A309" t="s">
        <v>1111</v>
      </c>
      <c r="B309">
        <v>76982.817548499996</v>
      </c>
      <c r="C309">
        <v>2639.4182442599999</v>
      </c>
      <c r="D309">
        <v>2281.2992901100001</v>
      </c>
    </row>
    <row r="310" spans="1:4">
      <c r="A310" t="s">
        <v>1112</v>
      </c>
      <c r="B310">
        <v>1636.1384490600001</v>
      </c>
      <c r="C310">
        <v>0</v>
      </c>
      <c r="D310">
        <v>20518.5747539</v>
      </c>
    </row>
    <row r="311" spans="1:4">
      <c r="A311" t="s">
        <v>1113</v>
      </c>
      <c r="B311">
        <v>941701.19599899999</v>
      </c>
      <c r="C311">
        <v>16132.788920499999</v>
      </c>
      <c r="D311">
        <v>458163.86356500001</v>
      </c>
    </row>
    <row r="312" spans="1:4">
      <c r="A312" t="s">
        <v>1114</v>
      </c>
      <c r="B312">
        <v>450.00782958500002</v>
      </c>
      <c r="C312">
        <v>0</v>
      </c>
      <c r="D312">
        <v>421022.590172</v>
      </c>
    </row>
    <row r="313" spans="1:4">
      <c r="A313" t="s">
        <v>1115</v>
      </c>
      <c r="B313">
        <v>435.02049890500001</v>
      </c>
      <c r="C313">
        <v>0</v>
      </c>
      <c r="D313">
        <v>3165531.4245699998</v>
      </c>
    </row>
    <row r="314" spans="1:4">
      <c r="A314" t="s">
        <v>1116</v>
      </c>
      <c r="B314">
        <v>533822.96413500002</v>
      </c>
      <c r="C314">
        <v>13936.9058095</v>
      </c>
      <c r="D314">
        <v>8133738.0756400004</v>
      </c>
    </row>
    <row r="315" spans="1:4">
      <c r="A315" t="s">
        <v>1117</v>
      </c>
      <c r="B315">
        <v>422.93184582599997</v>
      </c>
      <c r="C315">
        <v>0</v>
      </c>
      <c r="D315">
        <v>25909.021775500001</v>
      </c>
    </row>
    <row r="316" spans="1:4">
      <c r="A316" t="s">
        <v>1118</v>
      </c>
      <c r="B316">
        <v>27360.5901123</v>
      </c>
      <c r="C316">
        <v>385.95668393800003</v>
      </c>
      <c r="D316">
        <v>1569.28882946</v>
      </c>
    </row>
    <row r="317" spans="1:4">
      <c r="A317" t="s">
        <v>1119</v>
      </c>
      <c r="B317">
        <v>39591.178432499997</v>
      </c>
      <c r="C317">
        <v>667.14215103499998</v>
      </c>
      <c r="D317">
        <v>15298.6461347</v>
      </c>
    </row>
    <row r="318" spans="1:4">
      <c r="A318" t="s">
        <v>1120</v>
      </c>
      <c r="B318">
        <v>970156.89456100005</v>
      </c>
      <c r="C318">
        <v>13567.915147399999</v>
      </c>
      <c r="D318">
        <v>3020016.5359100001</v>
      </c>
    </row>
    <row r="319" spans="1:4">
      <c r="A319" t="s">
        <v>1121</v>
      </c>
      <c r="B319">
        <v>29035.2311477</v>
      </c>
      <c r="C319">
        <v>352.812419697</v>
      </c>
      <c r="D319">
        <v>21289.974105000001</v>
      </c>
    </row>
    <row r="320" spans="1:4">
      <c r="A320" t="s">
        <v>1122</v>
      </c>
      <c r="B320">
        <v>32651.6898196</v>
      </c>
      <c r="C320">
        <v>41.442582445100001</v>
      </c>
      <c r="D320">
        <v>1208644.8194599999</v>
      </c>
    </row>
    <row r="321" spans="1:4">
      <c r="A321" t="s">
        <v>823</v>
      </c>
      <c r="B321">
        <v>21632.3396216</v>
      </c>
      <c r="C321">
        <v>266.11812206799999</v>
      </c>
      <c r="D321">
        <v>488017.87714599998</v>
      </c>
    </row>
    <row r="322" spans="1:4">
      <c r="A322" t="s">
        <v>1123</v>
      </c>
      <c r="B322">
        <v>31642.7208852</v>
      </c>
      <c r="C322">
        <v>364.59474427700002</v>
      </c>
      <c r="D322">
        <v>48730.052366999997</v>
      </c>
    </row>
    <row r="323" spans="1:4">
      <c r="A323" t="s">
        <v>1124</v>
      </c>
      <c r="B323">
        <v>877.60104417800005</v>
      </c>
      <c r="C323">
        <v>3.9688349218100001</v>
      </c>
      <c r="D323">
        <v>9932.8959085499991</v>
      </c>
    </row>
    <row r="324" spans="1:4">
      <c r="A324" t="s">
        <v>1125</v>
      </c>
      <c r="B324">
        <v>23391.9572611</v>
      </c>
      <c r="C324">
        <v>0</v>
      </c>
      <c r="D324">
        <v>388004.78066500003</v>
      </c>
    </row>
    <row r="325" spans="1:4">
      <c r="A325" t="s">
        <v>1126</v>
      </c>
      <c r="B325">
        <v>10151.1264273</v>
      </c>
      <c r="C325">
        <v>332.87583329400002</v>
      </c>
      <c r="D325">
        <v>1190.4385143500001</v>
      </c>
    </row>
    <row r="326" spans="1:4">
      <c r="A326" t="s">
        <v>1127</v>
      </c>
      <c r="B326">
        <v>3296.9010082499999</v>
      </c>
      <c r="C326">
        <v>1.7190780531100001</v>
      </c>
      <c r="D326">
        <v>207270.939984</v>
      </c>
    </row>
    <row r="327" spans="1:4">
      <c r="A327" t="s">
        <v>1128</v>
      </c>
      <c r="B327">
        <v>22608.3205629</v>
      </c>
      <c r="C327">
        <v>319.27283224299998</v>
      </c>
      <c r="D327">
        <v>32837.390216100001</v>
      </c>
    </row>
    <row r="328" spans="1:4">
      <c r="A328" t="s">
        <v>1129</v>
      </c>
      <c r="B328">
        <v>4862.17281172</v>
      </c>
      <c r="C328">
        <v>171.60234792200001</v>
      </c>
      <c r="D328">
        <v>160.57911578900001</v>
      </c>
    </row>
    <row r="329" spans="1:4">
      <c r="A329" t="s">
        <v>1130</v>
      </c>
      <c r="B329">
        <v>8364.8937188100008</v>
      </c>
      <c r="C329">
        <v>70.370009991800003</v>
      </c>
      <c r="D329">
        <v>57247.046151299997</v>
      </c>
    </row>
    <row r="330" spans="1:4">
      <c r="A330" t="s">
        <v>1131</v>
      </c>
      <c r="B330">
        <v>31184.543493699999</v>
      </c>
      <c r="C330">
        <v>0</v>
      </c>
      <c r="D330">
        <v>1018593.8787999999</v>
      </c>
    </row>
    <row r="331" spans="1:4">
      <c r="A331" t="s">
        <v>1132</v>
      </c>
      <c r="B331">
        <v>166.12815216800001</v>
      </c>
      <c r="C331">
        <v>4.0284102378100002</v>
      </c>
      <c r="D331">
        <v>7.4259885563900001</v>
      </c>
    </row>
    <row r="332" spans="1:4">
      <c r="A332" t="s">
        <v>1133</v>
      </c>
      <c r="B332">
        <v>3442.15360659</v>
      </c>
      <c r="C332">
        <v>0</v>
      </c>
      <c r="D332">
        <v>14404825.082599999</v>
      </c>
    </row>
    <row r="333" spans="1:4">
      <c r="A333" t="s">
        <v>1134</v>
      </c>
      <c r="B333">
        <v>181428.38267600001</v>
      </c>
      <c r="C333">
        <v>2135.0916069300001</v>
      </c>
      <c r="D333">
        <v>24267.698296999999</v>
      </c>
    </row>
    <row r="334" spans="1:4">
      <c r="A334" t="s">
        <v>1135</v>
      </c>
      <c r="B334">
        <v>0</v>
      </c>
      <c r="C334">
        <v>0</v>
      </c>
      <c r="D334">
        <v>0</v>
      </c>
    </row>
    <row r="335" spans="1:4">
      <c r="A335" t="s">
        <v>1147</v>
      </c>
      <c r="B335">
        <v>0</v>
      </c>
      <c r="C335">
        <v>0</v>
      </c>
      <c r="D3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3A01-2E8F-9340-AB5C-B7309FC6D949}">
  <dimension ref="A1:T220"/>
  <sheetViews>
    <sheetView topLeftCell="D136" workbookViewId="0">
      <selection activeCell="F142" sqref="F142:T142"/>
    </sheetView>
  </sheetViews>
  <sheetFormatPr baseColWidth="10" defaultRowHeight="16"/>
  <cols>
    <col min="1" max="1" width="13.1640625" customWidth="1"/>
    <col min="2" max="2" width="40" customWidth="1"/>
    <col min="3" max="3" width="58.6640625" customWidth="1"/>
    <col min="4" max="4" width="18.5" customWidth="1"/>
    <col min="5" max="5" width="37.5" style="17" customWidth="1"/>
    <col min="6" max="6" width="22.6640625" style="14" customWidth="1"/>
    <col min="7" max="7" width="14.6640625" style="27" customWidth="1"/>
    <col min="8" max="8" width="11.5" style="14" customWidth="1"/>
    <col min="9" max="9" width="6.6640625" customWidth="1"/>
    <col min="10" max="10" width="12" customWidth="1"/>
    <col min="11" max="11" width="9.6640625" customWidth="1"/>
    <col min="12" max="12" width="17.5" style="5" customWidth="1"/>
    <col min="13" max="13" width="17.5" style="6" customWidth="1"/>
    <col min="14" max="14" width="11.83203125" style="5" customWidth="1"/>
    <col min="15" max="15" width="14.1640625" customWidth="1"/>
    <col min="16" max="16" width="18" style="17" bestFit="1" customWidth="1"/>
    <col min="17" max="17" width="12" customWidth="1"/>
    <col min="18" max="19" width="8.83203125" customWidth="1"/>
    <col min="20" max="20" width="11.83203125" style="25" bestFit="1" customWidth="1"/>
  </cols>
  <sheetData>
    <row r="1" spans="1:20" ht="33" thickBot="1">
      <c r="A1" s="32" t="s">
        <v>428</v>
      </c>
      <c r="B1" s="32" t="s">
        <v>243</v>
      </c>
      <c r="C1" s="32" t="s">
        <v>244</v>
      </c>
      <c r="D1" s="32" t="s">
        <v>238</v>
      </c>
      <c r="E1" s="32" t="s">
        <v>737</v>
      </c>
      <c r="F1" s="33" t="s">
        <v>239</v>
      </c>
      <c r="G1" s="34" t="s">
        <v>240</v>
      </c>
      <c r="H1" s="33" t="s">
        <v>736</v>
      </c>
      <c r="I1" s="22" t="s">
        <v>241</v>
      </c>
      <c r="J1" s="22" t="s">
        <v>242</v>
      </c>
      <c r="K1" s="23" t="s">
        <v>426</v>
      </c>
      <c r="L1" s="22" t="s">
        <v>427</v>
      </c>
      <c r="M1" s="24" t="s">
        <v>432</v>
      </c>
      <c r="N1" s="22" t="s">
        <v>429</v>
      </c>
      <c r="O1" s="32" t="s">
        <v>733</v>
      </c>
      <c r="P1" s="32" t="s">
        <v>769</v>
      </c>
      <c r="Q1" s="32" t="s">
        <v>766</v>
      </c>
      <c r="R1" s="32" t="s">
        <v>767</v>
      </c>
      <c r="S1" s="32" t="s">
        <v>768</v>
      </c>
      <c r="T1" s="35" t="s">
        <v>820</v>
      </c>
    </row>
    <row r="2" spans="1:20" ht="32">
      <c r="A2" s="39" t="s">
        <v>506</v>
      </c>
      <c r="B2" s="40" t="s">
        <v>412</v>
      </c>
      <c r="C2" s="40" t="s">
        <v>216</v>
      </c>
      <c r="D2" s="41" t="s">
        <v>1</v>
      </c>
      <c r="E2" s="40" t="s">
        <v>760</v>
      </c>
      <c r="F2" s="42">
        <v>7</v>
      </c>
      <c r="G2" s="43">
        <v>0.78435308805910964</v>
      </c>
      <c r="H2" s="49">
        <v>152806.38386025775</v>
      </c>
      <c r="I2" s="1">
        <v>5</v>
      </c>
      <c r="J2" s="1">
        <v>3</v>
      </c>
      <c r="K2">
        <v>1</v>
      </c>
      <c r="L2" s="7" t="s">
        <v>461</v>
      </c>
      <c r="M2" s="8">
        <v>1</v>
      </c>
      <c r="N2" s="7" t="s">
        <v>433</v>
      </c>
      <c r="O2" s="44">
        <v>1</v>
      </c>
      <c r="P2" s="40" t="s">
        <v>816</v>
      </c>
      <c r="Q2" s="44">
        <v>0.41</v>
      </c>
      <c r="R2" s="44">
        <v>0.28999999999999998</v>
      </c>
      <c r="S2" s="44">
        <v>0.57999999999999996</v>
      </c>
      <c r="T2" s="48">
        <f>0.210614324578582*(0.88)</f>
        <v>0.18534060562915217</v>
      </c>
    </row>
    <row r="3" spans="1:20">
      <c r="A3" s="4" t="s">
        <v>712</v>
      </c>
      <c r="B3" s="5" t="s">
        <v>12</v>
      </c>
      <c r="C3" s="5" t="s">
        <v>12</v>
      </c>
      <c r="D3" s="5" t="s">
        <v>1</v>
      </c>
      <c r="E3" s="4"/>
      <c r="F3" s="5">
        <v>9</v>
      </c>
      <c r="G3" s="29">
        <v>6.3501022171852481</v>
      </c>
      <c r="H3" s="31">
        <v>1716059.8910000001</v>
      </c>
      <c r="I3" s="1">
        <v>5</v>
      </c>
      <c r="J3" s="1">
        <v>1</v>
      </c>
      <c r="K3">
        <v>1</v>
      </c>
      <c r="L3" s="5" t="s">
        <v>447</v>
      </c>
      <c r="M3" s="6">
        <v>18</v>
      </c>
      <c r="N3" s="5" t="s">
        <v>433</v>
      </c>
      <c r="O3" s="5">
        <v>1</v>
      </c>
      <c r="P3" s="5"/>
      <c r="Q3" s="4"/>
      <c r="R3" s="4"/>
      <c r="S3" s="4"/>
      <c r="T3" s="26">
        <f>0.3*(0.88)</f>
        <v>0.26400000000000001</v>
      </c>
    </row>
    <row r="4" spans="1:20" ht="48">
      <c r="A4" s="39" t="s">
        <v>630</v>
      </c>
      <c r="B4" s="40" t="s">
        <v>39</v>
      </c>
      <c r="C4" s="40" t="s">
        <v>39</v>
      </c>
      <c r="D4" s="41" t="s">
        <v>31</v>
      </c>
      <c r="E4" s="46" t="s">
        <v>746</v>
      </c>
      <c r="F4" s="42">
        <v>9</v>
      </c>
      <c r="G4" s="43">
        <v>254.60902660160465</v>
      </c>
      <c r="H4" s="45">
        <v>67757.34</v>
      </c>
      <c r="I4" s="1">
        <v>5</v>
      </c>
      <c r="J4" s="1">
        <v>1</v>
      </c>
      <c r="K4">
        <v>1</v>
      </c>
      <c r="L4" s="5" t="s">
        <v>543</v>
      </c>
      <c r="M4" s="6" t="s">
        <v>544</v>
      </c>
      <c r="N4" s="5" t="s">
        <v>451</v>
      </c>
      <c r="O4" s="44">
        <v>1</v>
      </c>
      <c r="P4" s="47"/>
      <c r="Q4" s="44"/>
      <c r="R4" s="44"/>
      <c r="S4" s="44"/>
      <c r="T4" s="48">
        <v>0.4</v>
      </c>
    </row>
    <row r="5" spans="1:20">
      <c r="A5" s="44" t="s">
        <v>446</v>
      </c>
      <c r="B5" s="41" t="s">
        <v>8</v>
      </c>
      <c r="C5" s="41" t="s">
        <v>8</v>
      </c>
      <c r="D5" s="41" t="s">
        <v>1</v>
      </c>
      <c r="E5" s="44" t="s">
        <v>827</v>
      </c>
      <c r="F5" s="41">
        <v>11</v>
      </c>
      <c r="G5" s="43">
        <v>1.2581054540850005</v>
      </c>
      <c r="H5" s="51">
        <v>229885.6912</v>
      </c>
      <c r="I5" s="1">
        <v>6</v>
      </c>
      <c r="J5" s="1">
        <v>1</v>
      </c>
      <c r="K5">
        <v>1</v>
      </c>
      <c r="L5" s="7" t="s">
        <v>447</v>
      </c>
      <c r="M5" s="8">
        <v>18</v>
      </c>
      <c r="N5" s="7" t="s">
        <v>433</v>
      </c>
      <c r="O5" s="50">
        <v>1</v>
      </c>
      <c r="P5" s="41" t="s">
        <v>770</v>
      </c>
      <c r="Q5" s="44">
        <v>0.31200000000000006</v>
      </c>
      <c r="R5" s="44" t="s">
        <v>772</v>
      </c>
      <c r="S5" s="44" t="s">
        <v>772</v>
      </c>
      <c r="T5" s="48">
        <f>0.1*(0.88)</f>
        <v>8.8000000000000009E-2</v>
      </c>
    </row>
    <row r="6" spans="1:20" ht="32">
      <c r="A6" s="39" t="s">
        <v>638</v>
      </c>
      <c r="B6" s="40" t="s">
        <v>311</v>
      </c>
      <c r="C6" s="40" t="s">
        <v>153</v>
      </c>
      <c r="D6" s="41" t="s">
        <v>0</v>
      </c>
      <c r="E6" s="40" t="s">
        <v>30</v>
      </c>
      <c r="F6" s="42">
        <v>13</v>
      </c>
      <c r="G6" s="43">
        <v>2.0230000000000001E-2</v>
      </c>
      <c r="H6" s="51">
        <v>49048.859999999993</v>
      </c>
      <c r="I6" s="1">
        <v>2</v>
      </c>
      <c r="J6" s="1">
        <v>1</v>
      </c>
      <c r="L6" s="5" t="s">
        <v>477</v>
      </c>
      <c r="M6" s="6">
        <v>8</v>
      </c>
      <c r="N6" s="5" t="s">
        <v>443</v>
      </c>
      <c r="O6" s="44">
        <v>1</v>
      </c>
      <c r="P6" s="40" t="s">
        <v>775</v>
      </c>
      <c r="Q6" s="44">
        <v>0.12</v>
      </c>
      <c r="R6" s="44">
        <v>0.02</v>
      </c>
      <c r="S6" s="44">
        <v>0.88</v>
      </c>
      <c r="T6" s="48">
        <v>0.4</v>
      </c>
    </row>
    <row r="7" spans="1:20" ht="48">
      <c r="A7" s="39" t="s">
        <v>476</v>
      </c>
      <c r="B7" s="40" t="s">
        <v>263</v>
      </c>
      <c r="C7" s="40" t="s">
        <v>151</v>
      </c>
      <c r="D7" s="41" t="s">
        <v>0</v>
      </c>
      <c r="E7" s="40" t="s">
        <v>30</v>
      </c>
      <c r="F7" s="42">
        <v>13</v>
      </c>
      <c r="G7" s="43">
        <v>1.7790273640275014</v>
      </c>
      <c r="H7" s="51">
        <v>117098.51999999999</v>
      </c>
      <c r="I7" s="1">
        <v>1</v>
      </c>
      <c r="J7" s="1">
        <v>1</v>
      </c>
      <c r="L7" s="5" t="s">
        <v>477</v>
      </c>
      <c r="M7" s="6">
        <v>8</v>
      </c>
      <c r="N7" s="5" t="s">
        <v>443</v>
      </c>
      <c r="O7" s="44">
        <v>1</v>
      </c>
      <c r="P7" s="40"/>
      <c r="Q7" s="44"/>
      <c r="R7" s="44"/>
      <c r="S7" s="44"/>
      <c r="T7" s="48">
        <v>0.4</v>
      </c>
    </row>
    <row r="8" spans="1:20" ht="48">
      <c r="A8" t="s">
        <v>597</v>
      </c>
      <c r="B8" s="1" t="s">
        <v>359</v>
      </c>
      <c r="C8" s="1" t="s">
        <v>40</v>
      </c>
      <c r="D8" s="1" t="s">
        <v>0</v>
      </c>
      <c r="E8"/>
      <c r="F8" s="1">
        <v>76</v>
      </c>
      <c r="G8" s="28">
        <v>0.35823210058869914</v>
      </c>
      <c r="I8" s="1">
        <v>1</v>
      </c>
      <c r="J8" s="1">
        <v>1</v>
      </c>
      <c r="L8" s="5" t="s">
        <v>598</v>
      </c>
      <c r="M8" s="6" t="s">
        <v>599</v>
      </c>
      <c r="N8" s="5" t="s">
        <v>443</v>
      </c>
      <c r="P8" s="1"/>
    </row>
    <row r="9" spans="1:20" ht="80">
      <c r="A9" s="18" t="s">
        <v>479</v>
      </c>
      <c r="B9" s="17" t="s">
        <v>258</v>
      </c>
      <c r="C9" s="17" t="s">
        <v>145</v>
      </c>
      <c r="D9" s="5" t="s">
        <v>0</v>
      </c>
      <c r="E9" s="17" t="s">
        <v>738</v>
      </c>
      <c r="F9" s="16">
        <v>13</v>
      </c>
      <c r="G9" s="29">
        <v>1.7571686329933422</v>
      </c>
      <c r="H9" s="30">
        <v>16362779.940328334</v>
      </c>
      <c r="I9" s="1">
        <v>2</v>
      </c>
      <c r="J9" s="1">
        <v>2</v>
      </c>
      <c r="K9">
        <v>1</v>
      </c>
      <c r="L9" s="5" t="s">
        <v>480</v>
      </c>
      <c r="M9" s="6" t="s">
        <v>481</v>
      </c>
      <c r="N9" s="5" t="s">
        <v>443</v>
      </c>
      <c r="O9" s="4">
        <v>1</v>
      </c>
      <c r="P9" s="5" t="s">
        <v>770</v>
      </c>
      <c r="Q9" s="4">
        <v>0.73</v>
      </c>
      <c r="R9" s="4">
        <v>0.68</v>
      </c>
      <c r="S9" s="4">
        <v>0.77</v>
      </c>
      <c r="T9" s="26">
        <f>0.772556293750915*(0.88)</f>
        <v>0.67984953850080521</v>
      </c>
    </row>
    <row r="10" spans="1:20" ht="32">
      <c r="A10" s="44" t="s">
        <v>612</v>
      </c>
      <c r="B10" s="41" t="s">
        <v>100</v>
      </c>
      <c r="C10" s="41" t="s">
        <v>100</v>
      </c>
      <c r="D10" s="41" t="s">
        <v>1</v>
      </c>
      <c r="E10" s="41" t="s">
        <v>829</v>
      </c>
      <c r="F10" s="41">
        <v>13</v>
      </c>
      <c r="G10" s="43">
        <v>1.2581054540850005</v>
      </c>
      <c r="H10" s="51">
        <v>203762.31719999999</v>
      </c>
      <c r="I10" s="1">
        <v>5</v>
      </c>
      <c r="J10" s="1">
        <v>3</v>
      </c>
      <c r="K10">
        <v>1</v>
      </c>
      <c r="L10" s="5" t="s">
        <v>431</v>
      </c>
      <c r="M10" s="6">
        <v>11</v>
      </c>
      <c r="N10" s="5" t="s">
        <v>433</v>
      </c>
      <c r="O10" s="41">
        <v>1</v>
      </c>
      <c r="P10" s="41" t="s">
        <v>781</v>
      </c>
      <c r="Q10" s="44">
        <v>0.66</v>
      </c>
      <c r="R10" s="44">
        <v>0.48</v>
      </c>
      <c r="S10" s="44">
        <v>0.89</v>
      </c>
      <c r="T10" s="48">
        <f>0.1*(0.88)</f>
        <v>8.8000000000000009E-2</v>
      </c>
    </row>
    <row r="11" spans="1:20">
      <c r="A11" t="s">
        <v>509</v>
      </c>
      <c r="B11" s="1" t="s">
        <v>162</v>
      </c>
      <c r="C11" s="1" t="s">
        <v>162</v>
      </c>
      <c r="D11" s="1" t="s">
        <v>0</v>
      </c>
      <c r="E11"/>
      <c r="F11" s="1"/>
      <c r="G11" s="28">
        <v>0.5</v>
      </c>
      <c r="I11" s="1">
        <v>0</v>
      </c>
      <c r="J11" s="1">
        <v>1</v>
      </c>
      <c r="L11" s="5" t="s">
        <v>510</v>
      </c>
      <c r="M11" s="6">
        <v>3</v>
      </c>
      <c r="N11" s="5" t="s">
        <v>443</v>
      </c>
      <c r="P11" s="1"/>
    </row>
    <row r="12" spans="1:20" ht="32">
      <c r="A12" t="s">
        <v>728</v>
      </c>
      <c r="B12" s="1" t="s">
        <v>325</v>
      </c>
      <c r="C12" s="1" t="s">
        <v>37</v>
      </c>
      <c r="D12" s="1" t="s">
        <v>0</v>
      </c>
      <c r="E12"/>
      <c r="F12" s="1">
        <v>3276</v>
      </c>
      <c r="G12" s="28">
        <v>0.6</v>
      </c>
      <c r="I12" s="1">
        <v>1</v>
      </c>
      <c r="J12" s="1">
        <v>1</v>
      </c>
      <c r="L12" s="5" t="s">
        <v>510</v>
      </c>
      <c r="M12" s="6">
        <v>3</v>
      </c>
      <c r="N12" s="5" t="s">
        <v>443</v>
      </c>
      <c r="P12" s="1"/>
    </row>
    <row r="13" spans="1:20" ht="32">
      <c r="A13" s="18" t="s">
        <v>587</v>
      </c>
      <c r="B13" s="17" t="s">
        <v>312</v>
      </c>
      <c r="C13" s="17" t="s">
        <v>181</v>
      </c>
      <c r="D13" s="5" t="s">
        <v>0</v>
      </c>
      <c r="E13" s="17" t="s">
        <v>744</v>
      </c>
      <c r="F13" s="16">
        <v>14</v>
      </c>
      <c r="G13" s="29">
        <v>48.128585671910834</v>
      </c>
      <c r="H13" s="9">
        <v>1104032.5267066986</v>
      </c>
      <c r="I13" s="1">
        <v>4</v>
      </c>
      <c r="J13" s="1">
        <v>3</v>
      </c>
      <c r="K13">
        <v>1</v>
      </c>
      <c r="L13" s="5" t="s">
        <v>461</v>
      </c>
      <c r="M13" s="6">
        <v>1</v>
      </c>
      <c r="N13" s="5" t="s">
        <v>433</v>
      </c>
      <c r="O13" s="4">
        <v>1</v>
      </c>
      <c r="P13" s="5" t="s">
        <v>770</v>
      </c>
      <c r="Q13" s="4">
        <v>0.8</v>
      </c>
      <c r="R13" s="4">
        <v>0.5</v>
      </c>
      <c r="S13" s="4">
        <v>0.9</v>
      </c>
      <c r="T13" s="26">
        <f>0.068635045612025*(0.88)</f>
        <v>6.0398840138582002E-2</v>
      </c>
    </row>
    <row r="14" spans="1:20" ht="48">
      <c r="A14" t="s">
        <v>666</v>
      </c>
      <c r="B14" s="1" t="s">
        <v>173</v>
      </c>
      <c r="C14" s="1" t="s">
        <v>173</v>
      </c>
      <c r="D14" s="1" t="s">
        <v>0</v>
      </c>
      <c r="E14"/>
      <c r="F14" s="1">
        <v>242</v>
      </c>
      <c r="G14" s="28">
        <v>9.1430085225198408</v>
      </c>
      <c r="I14" s="1">
        <v>1</v>
      </c>
      <c r="J14" s="1">
        <v>1</v>
      </c>
      <c r="K14">
        <v>1</v>
      </c>
      <c r="L14" s="5" t="s">
        <v>667</v>
      </c>
      <c r="M14" s="6" t="s">
        <v>668</v>
      </c>
      <c r="N14" s="5" t="s">
        <v>443</v>
      </c>
      <c r="P14" s="1" t="s">
        <v>771</v>
      </c>
      <c r="Q14">
        <v>0.3</v>
      </c>
      <c r="R14" t="s">
        <v>772</v>
      </c>
      <c r="S14">
        <v>0.8</v>
      </c>
    </row>
    <row r="15" spans="1:20" ht="48">
      <c r="A15" t="s">
        <v>593</v>
      </c>
      <c r="B15" s="1" t="s">
        <v>358</v>
      </c>
      <c r="C15" s="1" t="s">
        <v>34</v>
      </c>
      <c r="D15" s="1" t="s">
        <v>0</v>
      </c>
      <c r="E15"/>
      <c r="F15" s="1">
        <v>11</v>
      </c>
      <c r="G15" s="28">
        <v>0.4546559785461225</v>
      </c>
      <c r="I15" s="1">
        <v>1</v>
      </c>
      <c r="J15" s="1">
        <v>1</v>
      </c>
      <c r="K15">
        <v>1</v>
      </c>
      <c r="L15" s="5" t="s">
        <v>594</v>
      </c>
      <c r="M15" s="6" t="s">
        <v>595</v>
      </c>
      <c r="N15" s="5" t="s">
        <v>443</v>
      </c>
      <c r="P15" s="1"/>
    </row>
    <row r="16" spans="1:20" ht="48">
      <c r="A16" t="s">
        <v>669</v>
      </c>
      <c r="B16" s="1" t="s">
        <v>321</v>
      </c>
      <c r="C16" s="1" t="s">
        <v>235</v>
      </c>
      <c r="D16" s="1" t="s">
        <v>0</v>
      </c>
      <c r="E16"/>
      <c r="F16" s="1">
        <v>742</v>
      </c>
      <c r="G16" s="28">
        <v>3</v>
      </c>
      <c r="I16" s="1"/>
      <c r="J16" s="1"/>
      <c r="L16" s="5" t="s">
        <v>670</v>
      </c>
      <c r="M16" s="6" t="s">
        <v>671</v>
      </c>
      <c r="N16" s="5" t="s">
        <v>443</v>
      </c>
      <c r="P16" s="1"/>
    </row>
    <row r="17" spans="1:20">
      <c r="A17" s="18" t="s">
        <v>681</v>
      </c>
      <c r="B17" s="17" t="s">
        <v>305</v>
      </c>
      <c r="C17" s="17" t="s">
        <v>179</v>
      </c>
      <c r="D17" s="5" t="s">
        <v>0</v>
      </c>
      <c r="E17" s="17" t="s">
        <v>91</v>
      </c>
      <c r="F17" s="16">
        <v>18</v>
      </c>
      <c r="G17" s="29">
        <v>23.795624430790863</v>
      </c>
      <c r="H17" s="11">
        <v>310863.08237392252</v>
      </c>
      <c r="I17" s="1">
        <v>1</v>
      </c>
      <c r="J17" s="1">
        <v>1</v>
      </c>
      <c r="L17" s="5" t="s">
        <v>436</v>
      </c>
      <c r="M17" s="6">
        <v>19</v>
      </c>
      <c r="N17" s="5" t="s">
        <v>451</v>
      </c>
      <c r="O17" s="4">
        <v>1</v>
      </c>
      <c r="Q17" s="4"/>
      <c r="R17" s="4"/>
      <c r="S17" s="4"/>
      <c r="T17" s="26">
        <f>0.0914141449986654*(0.88)</f>
        <v>8.0444447598825561E-2</v>
      </c>
    </row>
    <row r="18" spans="1:20" ht="32">
      <c r="A18" t="s">
        <v>584</v>
      </c>
      <c r="B18" s="1" t="s">
        <v>266</v>
      </c>
      <c r="C18" s="1" t="s">
        <v>24</v>
      </c>
      <c r="D18" s="1" t="s">
        <v>0</v>
      </c>
      <c r="E18"/>
      <c r="F18" s="1"/>
      <c r="G18" s="28">
        <v>3</v>
      </c>
      <c r="I18" s="1"/>
      <c r="J18" s="1"/>
      <c r="L18" s="5" t="s">
        <v>586</v>
      </c>
      <c r="M18" s="6" t="s">
        <v>585</v>
      </c>
      <c r="N18" s="5" t="s">
        <v>443</v>
      </c>
      <c r="P18" s="1"/>
    </row>
    <row r="19" spans="1:20" ht="32">
      <c r="A19" t="s">
        <v>507</v>
      </c>
      <c r="B19" s="1" t="s">
        <v>301</v>
      </c>
      <c r="C19" s="1" t="s">
        <v>76</v>
      </c>
      <c r="D19" s="1" t="s">
        <v>0</v>
      </c>
      <c r="E19"/>
      <c r="F19" s="1">
        <v>2908</v>
      </c>
      <c r="G19" s="28">
        <v>0.21691828689811607</v>
      </c>
      <c r="I19" s="1">
        <v>1</v>
      </c>
      <c r="J19" s="1">
        <v>1</v>
      </c>
      <c r="L19" s="5" t="s">
        <v>508</v>
      </c>
      <c r="M19" s="6">
        <v>5</v>
      </c>
      <c r="N19" s="5" t="s">
        <v>443</v>
      </c>
      <c r="P19" s="1"/>
    </row>
    <row r="20" spans="1:20" ht="32">
      <c r="A20" t="s">
        <v>637</v>
      </c>
      <c r="B20" s="1" t="s">
        <v>261</v>
      </c>
      <c r="C20" s="1" t="s">
        <v>49</v>
      </c>
      <c r="D20" s="1" t="s">
        <v>0</v>
      </c>
      <c r="E20"/>
      <c r="F20" s="1"/>
      <c r="G20" s="28">
        <v>0.21691828689811607</v>
      </c>
      <c r="I20" s="1">
        <v>1</v>
      </c>
      <c r="J20" s="1">
        <v>1</v>
      </c>
      <c r="L20" s="5" t="s">
        <v>508</v>
      </c>
      <c r="M20" s="6">
        <v>5</v>
      </c>
      <c r="N20" s="5" t="s">
        <v>451</v>
      </c>
      <c r="P20" s="1"/>
    </row>
    <row r="21" spans="1:20" ht="48">
      <c r="A21" s="4" t="s">
        <v>713</v>
      </c>
      <c r="B21" s="5" t="s">
        <v>13</v>
      </c>
      <c r="C21" s="5" t="s">
        <v>13</v>
      </c>
      <c r="D21" s="5" t="s">
        <v>1</v>
      </c>
      <c r="E21" s="4"/>
      <c r="F21" s="5">
        <v>18</v>
      </c>
      <c r="G21" s="29">
        <v>6.3501022171852481</v>
      </c>
      <c r="H21" s="31">
        <v>1885780.0999999999</v>
      </c>
      <c r="I21" s="1">
        <v>5</v>
      </c>
      <c r="J21" s="1">
        <v>1</v>
      </c>
      <c r="K21">
        <v>1</v>
      </c>
      <c r="L21" s="5" t="s">
        <v>447</v>
      </c>
      <c r="M21" s="6">
        <v>18</v>
      </c>
      <c r="N21" s="5" t="s">
        <v>433</v>
      </c>
      <c r="O21" s="5">
        <v>1</v>
      </c>
      <c r="P21" s="5" t="s">
        <v>789</v>
      </c>
      <c r="Q21" s="4">
        <v>-2.5</v>
      </c>
      <c r="R21" s="4" t="s">
        <v>772</v>
      </c>
      <c r="S21" s="4" t="s">
        <v>772</v>
      </c>
      <c r="T21" s="26">
        <f>0.3*(0.88)</f>
        <v>0.26400000000000001</v>
      </c>
    </row>
    <row r="22" spans="1:20" ht="64">
      <c r="A22" s="39" t="s">
        <v>494</v>
      </c>
      <c r="B22" s="40" t="s">
        <v>372</v>
      </c>
      <c r="C22" s="40" t="s">
        <v>135</v>
      </c>
      <c r="D22" s="41" t="s">
        <v>31</v>
      </c>
      <c r="E22" s="40" t="s">
        <v>85</v>
      </c>
      <c r="F22" s="42">
        <v>20</v>
      </c>
      <c r="G22" s="43">
        <v>1.2581054540850005</v>
      </c>
      <c r="H22" s="51">
        <v>420461.77410822158</v>
      </c>
      <c r="I22" s="1">
        <v>3</v>
      </c>
      <c r="J22" s="1">
        <v>1</v>
      </c>
      <c r="K22">
        <v>1</v>
      </c>
      <c r="L22" s="5" t="s">
        <v>431</v>
      </c>
      <c r="M22" s="6">
        <v>11</v>
      </c>
      <c r="N22" s="5" t="s">
        <v>451</v>
      </c>
      <c r="O22" s="44">
        <v>1</v>
      </c>
      <c r="P22" s="40" t="s">
        <v>797</v>
      </c>
      <c r="Q22" s="44">
        <v>3.7000000000000002E-3</v>
      </c>
      <c r="R22" s="44">
        <v>2.8E-3</v>
      </c>
      <c r="S22" s="44">
        <v>4.4999999999999997E-3</v>
      </c>
      <c r="T22" s="48">
        <f>0.1*(0.88)</f>
        <v>8.8000000000000009E-2</v>
      </c>
    </row>
    <row r="23" spans="1:20" ht="48">
      <c r="A23" t="s">
        <v>546</v>
      </c>
      <c r="B23" s="1" t="s">
        <v>306</v>
      </c>
      <c r="C23" s="1" t="s">
        <v>196</v>
      </c>
      <c r="D23" s="1" t="s">
        <v>0</v>
      </c>
      <c r="E23"/>
      <c r="F23" s="1">
        <v>1400</v>
      </c>
      <c r="G23" s="28">
        <v>4.9445642275071053</v>
      </c>
      <c r="I23" s="1">
        <v>3</v>
      </c>
      <c r="J23" s="1">
        <v>1</v>
      </c>
      <c r="L23" s="5" t="s">
        <v>484</v>
      </c>
      <c r="M23" s="6">
        <v>6</v>
      </c>
      <c r="N23" s="5" t="s">
        <v>451</v>
      </c>
      <c r="P23" s="1"/>
    </row>
    <row r="24" spans="1:20" ht="128">
      <c r="A24" s="18" t="s">
        <v>648</v>
      </c>
      <c r="B24" s="17" t="s">
        <v>288</v>
      </c>
      <c r="C24" s="17" t="s">
        <v>223</v>
      </c>
      <c r="D24" s="5" t="s">
        <v>1</v>
      </c>
      <c r="E24" s="17" t="s">
        <v>741</v>
      </c>
      <c r="F24" s="16">
        <v>21</v>
      </c>
      <c r="G24" s="29">
        <v>37.750288472133242</v>
      </c>
      <c r="H24" s="9">
        <v>100206.8824063286</v>
      </c>
      <c r="I24" s="1">
        <v>4</v>
      </c>
      <c r="J24" s="1">
        <v>3</v>
      </c>
      <c r="K24">
        <v>1</v>
      </c>
      <c r="L24" s="5" t="s">
        <v>500</v>
      </c>
      <c r="M24" s="6">
        <v>7</v>
      </c>
      <c r="N24" s="5" t="s">
        <v>451</v>
      </c>
      <c r="O24" s="4">
        <v>1</v>
      </c>
      <c r="P24" s="17" t="s">
        <v>779</v>
      </c>
      <c r="Q24" s="4">
        <v>4.5999999999999996</v>
      </c>
      <c r="R24" s="4">
        <v>2.7</v>
      </c>
      <c r="S24" s="4">
        <v>8</v>
      </c>
      <c r="T24" s="26">
        <f>0.5*(0.88)</f>
        <v>0.44</v>
      </c>
    </row>
    <row r="25" spans="1:20" ht="48">
      <c r="A25" t="s">
        <v>643</v>
      </c>
      <c r="B25" s="1" t="s">
        <v>360</v>
      </c>
      <c r="C25" s="1" t="s">
        <v>38</v>
      </c>
      <c r="D25" s="1" t="s">
        <v>0</v>
      </c>
      <c r="E25"/>
      <c r="F25" s="1">
        <v>1</v>
      </c>
      <c r="G25" s="28">
        <v>1.7038647869188983</v>
      </c>
      <c r="I25" s="1">
        <v>2</v>
      </c>
      <c r="J25" s="1">
        <v>1</v>
      </c>
      <c r="K25">
        <v>1</v>
      </c>
      <c r="L25" s="5" t="s">
        <v>484</v>
      </c>
      <c r="M25" s="6">
        <v>6</v>
      </c>
      <c r="N25" s="5" t="s">
        <v>443</v>
      </c>
      <c r="P25" s="1"/>
    </row>
    <row r="26" spans="1:20" ht="48">
      <c r="A26" t="s">
        <v>533</v>
      </c>
      <c r="B26" s="1" t="s">
        <v>317</v>
      </c>
      <c r="C26" s="1" t="s">
        <v>79</v>
      </c>
      <c r="D26" s="1" t="s">
        <v>0</v>
      </c>
      <c r="E26"/>
      <c r="F26" s="1">
        <v>3324</v>
      </c>
      <c r="G26" s="28">
        <v>5.3019999999999996</v>
      </c>
      <c r="I26" s="1">
        <v>3</v>
      </c>
      <c r="J26" s="1">
        <v>2</v>
      </c>
      <c r="K26">
        <v>1</v>
      </c>
      <c r="L26" s="5" t="s">
        <v>534</v>
      </c>
      <c r="M26" s="6" t="s">
        <v>535</v>
      </c>
      <c r="N26" s="5" t="s">
        <v>451</v>
      </c>
      <c r="P26" s="1"/>
    </row>
    <row r="27" spans="1:20">
      <c r="A27" s="62" t="s">
        <v>502</v>
      </c>
      <c r="B27" s="63" t="s">
        <v>2</v>
      </c>
      <c r="C27" s="63" t="s">
        <v>2</v>
      </c>
      <c r="D27" s="64" t="s">
        <v>31</v>
      </c>
      <c r="E27" s="63" t="s">
        <v>758</v>
      </c>
      <c r="F27" s="65">
        <v>22</v>
      </c>
      <c r="G27" s="66">
        <v>1.6708715227994324</v>
      </c>
      <c r="H27" s="68">
        <v>924371.32491951319</v>
      </c>
      <c r="I27" s="1">
        <v>3</v>
      </c>
      <c r="J27" s="1">
        <v>1</v>
      </c>
      <c r="K27">
        <v>1</v>
      </c>
      <c r="L27" s="7" t="s">
        <v>447</v>
      </c>
      <c r="M27" s="8">
        <v>18</v>
      </c>
      <c r="N27" s="7" t="s">
        <v>433</v>
      </c>
      <c r="O27" s="67">
        <v>1</v>
      </c>
      <c r="P27" s="63"/>
      <c r="Q27" s="67"/>
      <c r="R27" s="67"/>
      <c r="S27" s="67"/>
      <c r="T27" s="69">
        <f>0.306720966623047*(0.88)</f>
        <v>0.26991445062828134</v>
      </c>
    </row>
    <row r="28" spans="1:20" ht="32">
      <c r="A28" t="s">
        <v>700</v>
      </c>
      <c r="B28" s="1" t="s">
        <v>304</v>
      </c>
      <c r="C28" s="1" t="s">
        <v>149</v>
      </c>
      <c r="D28" s="1" t="s">
        <v>0</v>
      </c>
      <c r="E28"/>
      <c r="F28" s="1"/>
      <c r="G28" s="28">
        <v>0.63500000000000001</v>
      </c>
      <c r="I28" s="1">
        <v>2</v>
      </c>
      <c r="J28" s="1">
        <v>1</v>
      </c>
      <c r="L28" s="5" t="s">
        <v>477</v>
      </c>
      <c r="M28" s="6">
        <v>8</v>
      </c>
      <c r="N28" s="5" t="s">
        <v>433</v>
      </c>
      <c r="P28" s="1"/>
    </row>
    <row r="29" spans="1:20" ht="48">
      <c r="A29" t="s">
        <v>514</v>
      </c>
      <c r="B29" s="1" t="s">
        <v>356</v>
      </c>
      <c r="C29" s="1" t="s">
        <v>183</v>
      </c>
      <c r="D29" s="1" t="s">
        <v>0</v>
      </c>
      <c r="E29"/>
      <c r="F29" s="1">
        <v>175</v>
      </c>
      <c r="G29" s="28">
        <v>2.3558327287917193</v>
      </c>
      <c r="I29" s="1">
        <v>2</v>
      </c>
      <c r="J29" s="1">
        <v>1</v>
      </c>
      <c r="L29" s="5" t="s">
        <v>477</v>
      </c>
      <c r="M29" s="6">
        <v>8</v>
      </c>
      <c r="N29" s="5" t="s">
        <v>443</v>
      </c>
      <c r="P29" s="1"/>
    </row>
    <row r="30" spans="1:20" ht="48">
      <c r="A30" s="44" t="s">
        <v>706</v>
      </c>
      <c r="B30" s="41" t="s">
        <v>383</v>
      </c>
      <c r="C30" s="41" t="s">
        <v>54</v>
      </c>
      <c r="D30" s="41" t="s">
        <v>1</v>
      </c>
      <c r="E30" s="44" t="s">
        <v>824</v>
      </c>
      <c r="F30" s="41">
        <v>23</v>
      </c>
      <c r="G30" s="43">
        <v>1.1496900605005875</v>
      </c>
      <c r="H30" s="51">
        <v>120913.51168003447</v>
      </c>
      <c r="I30" s="1">
        <v>4</v>
      </c>
      <c r="J30" s="1">
        <v>1</v>
      </c>
      <c r="K30">
        <v>1</v>
      </c>
      <c r="L30" s="5" t="s">
        <v>513</v>
      </c>
      <c r="M30" s="6">
        <v>14</v>
      </c>
      <c r="N30" s="5" t="s">
        <v>451</v>
      </c>
      <c r="O30" s="41">
        <v>1</v>
      </c>
      <c r="P30" s="41" t="s">
        <v>782</v>
      </c>
      <c r="Q30" s="44">
        <v>4.8</v>
      </c>
      <c r="R30" s="44">
        <v>0.7</v>
      </c>
      <c r="S30" s="44">
        <v>8.9</v>
      </c>
      <c r="T30" s="48">
        <f>0.924908816360775*(0.88)</f>
        <v>0.8139197583974821</v>
      </c>
    </row>
    <row r="31" spans="1:20" ht="48">
      <c r="A31" s="4" t="s">
        <v>604</v>
      </c>
      <c r="B31" s="5" t="s">
        <v>253</v>
      </c>
      <c r="C31" s="5" t="s">
        <v>66</v>
      </c>
      <c r="D31" s="5" t="s">
        <v>32</v>
      </c>
      <c r="E31" s="4"/>
      <c r="F31" s="5">
        <v>23</v>
      </c>
      <c r="G31" s="9">
        <v>243.83598021710617</v>
      </c>
      <c r="H31" s="31">
        <v>344733.21880825708</v>
      </c>
      <c r="I31" s="1">
        <v>0</v>
      </c>
      <c r="J31" s="1">
        <v>1</v>
      </c>
      <c r="K31">
        <v>1</v>
      </c>
      <c r="L31" s="5" t="s">
        <v>602</v>
      </c>
      <c r="M31" s="6" t="s">
        <v>603</v>
      </c>
      <c r="N31" s="5" t="s">
        <v>443</v>
      </c>
      <c r="O31" s="4">
        <v>1</v>
      </c>
      <c r="P31" s="5"/>
      <c r="Q31" s="4"/>
      <c r="R31" s="4"/>
      <c r="S31" s="4"/>
      <c r="T31" s="26">
        <f>0.149551026241291*(0.88)</f>
        <v>0.13160490309233608</v>
      </c>
    </row>
    <row r="32" spans="1:20" ht="48">
      <c r="A32" t="s">
        <v>572</v>
      </c>
      <c r="B32" s="1" t="s">
        <v>310</v>
      </c>
      <c r="C32" s="1" t="s">
        <v>158</v>
      </c>
      <c r="D32" s="1" t="s">
        <v>0</v>
      </c>
      <c r="E32"/>
      <c r="F32" s="1">
        <v>49</v>
      </c>
      <c r="G32" s="28">
        <v>0.48827628906858322</v>
      </c>
      <c r="I32" s="1">
        <v>1</v>
      </c>
      <c r="J32" s="1">
        <v>1</v>
      </c>
      <c r="K32">
        <v>1</v>
      </c>
      <c r="L32" s="5" t="s">
        <v>477</v>
      </c>
      <c r="M32" s="6">
        <v>8</v>
      </c>
      <c r="N32" s="5" t="s">
        <v>451</v>
      </c>
      <c r="P32" s="1"/>
    </row>
    <row r="33" spans="1:20" ht="32">
      <c r="A33" s="18" t="s">
        <v>684</v>
      </c>
      <c r="B33" s="17" t="s">
        <v>425</v>
      </c>
      <c r="C33" s="17" t="s">
        <v>127</v>
      </c>
      <c r="D33" s="5" t="s">
        <v>1</v>
      </c>
      <c r="E33" s="17" t="s">
        <v>93</v>
      </c>
      <c r="F33" s="16">
        <v>26</v>
      </c>
      <c r="G33" s="29">
        <v>1.7682070449764991</v>
      </c>
      <c r="H33" s="11">
        <v>26379.148866287756</v>
      </c>
      <c r="I33" s="1"/>
      <c r="J33" s="1">
        <v>1</v>
      </c>
      <c r="K33">
        <v>1</v>
      </c>
      <c r="L33" s="5" t="s">
        <v>438</v>
      </c>
      <c r="M33" s="6">
        <v>2</v>
      </c>
      <c r="N33" s="5" t="s">
        <v>433</v>
      </c>
      <c r="O33" s="4">
        <v>1</v>
      </c>
      <c r="P33" s="36" t="s">
        <v>770</v>
      </c>
      <c r="Q33" s="4">
        <v>0.5</v>
      </c>
      <c r="R33" s="4">
        <v>0.3</v>
      </c>
      <c r="S33" s="4">
        <v>0.7</v>
      </c>
      <c r="T33" s="26">
        <f>0.521573045605626*(0.88)</f>
        <v>0.45898428013295089</v>
      </c>
    </row>
    <row r="34" spans="1:20" ht="32">
      <c r="A34" s="18" t="s">
        <v>644</v>
      </c>
      <c r="B34" s="17" t="s">
        <v>344</v>
      </c>
      <c r="C34" s="17" t="s">
        <v>150</v>
      </c>
      <c r="D34" s="5" t="s">
        <v>31</v>
      </c>
      <c r="E34" s="17" t="s">
        <v>30</v>
      </c>
      <c r="F34" s="16">
        <v>27</v>
      </c>
      <c r="G34" s="29">
        <v>6.1816122110580389</v>
      </c>
      <c r="H34" s="10">
        <v>39165.1728</v>
      </c>
      <c r="I34" s="1">
        <v>2</v>
      </c>
      <c r="J34" s="1">
        <v>1</v>
      </c>
      <c r="K34">
        <v>1</v>
      </c>
      <c r="L34" s="5" t="s">
        <v>477</v>
      </c>
      <c r="M34" s="6">
        <v>8</v>
      </c>
      <c r="N34" s="5" t="s">
        <v>443</v>
      </c>
      <c r="O34" s="4">
        <v>1</v>
      </c>
      <c r="P34" s="17" t="s">
        <v>795</v>
      </c>
      <c r="Q34" s="4">
        <v>0.65</v>
      </c>
      <c r="R34" s="4">
        <v>0.55000000000000004</v>
      </c>
      <c r="S34" s="4">
        <v>0.77</v>
      </c>
      <c r="T34" s="26">
        <f>0.1*(0.88)</f>
        <v>8.8000000000000009E-2</v>
      </c>
    </row>
    <row r="35" spans="1:20" ht="64">
      <c r="A35" s="39" t="s">
        <v>701</v>
      </c>
      <c r="B35" s="40" t="s">
        <v>394</v>
      </c>
      <c r="C35" s="40" t="s">
        <v>208</v>
      </c>
      <c r="D35" s="41" t="s">
        <v>31</v>
      </c>
      <c r="E35" s="40" t="s">
        <v>751</v>
      </c>
      <c r="F35" s="42">
        <v>28</v>
      </c>
      <c r="G35" s="43">
        <v>4.819458994482523</v>
      </c>
      <c r="H35" s="49">
        <v>214178.10662782626</v>
      </c>
      <c r="I35" s="1">
        <v>3</v>
      </c>
      <c r="J35" s="1">
        <v>1</v>
      </c>
      <c r="K35">
        <v>1</v>
      </c>
      <c r="L35" s="5" t="s">
        <v>484</v>
      </c>
      <c r="M35" s="6">
        <v>6</v>
      </c>
      <c r="N35" s="5" t="s">
        <v>451</v>
      </c>
      <c r="O35" s="44">
        <v>1</v>
      </c>
      <c r="P35" s="40"/>
      <c r="Q35" s="44"/>
      <c r="R35" s="44"/>
      <c r="S35" s="44"/>
      <c r="T35" s="48">
        <f>0.104473979264733*(0.88)</f>
        <v>9.1937101752965031E-2</v>
      </c>
    </row>
    <row r="36" spans="1:20">
      <c r="A36" t="s">
        <v>678</v>
      </c>
      <c r="B36" s="1" t="s">
        <v>264</v>
      </c>
      <c r="C36" s="1" t="s">
        <v>157</v>
      </c>
      <c r="D36" s="1" t="s">
        <v>0</v>
      </c>
      <c r="E36"/>
      <c r="F36" s="1">
        <v>49</v>
      </c>
      <c r="G36" s="28">
        <v>20.946845798236545</v>
      </c>
      <c r="I36" s="1">
        <v>3</v>
      </c>
      <c r="J36" s="1">
        <v>1</v>
      </c>
      <c r="K36">
        <v>1</v>
      </c>
      <c r="L36" s="5" t="s">
        <v>477</v>
      </c>
      <c r="M36" s="6">
        <v>8</v>
      </c>
      <c r="N36" s="5" t="s">
        <v>443</v>
      </c>
      <c r="P36" s="1" t="s">
        <v>816</v>
      </c>
      <c r="Q36">
        <v>0.26</v>
      </c>
      <c r="R36">
        <v>0.17</v>
      </c>
      <c r="S36">
        <v>0.38</v>
      </c>
    </row>
    <row r="37" spans="1:20" ht="32">
      <c r="A37" t="s">
        <v>596</v>
      </c>
      <c r="B37" s="1" t="s">
        <v>313</v>
      </c>
      <c r="C37" s="1" t="s">
        <v>152</v>
      </c>
      <c r="D37" s="1" t="s">
        <v>0</v>
      </c>
      <c r="E37"/>
      <c r="F37" s="1">
        <v>6</v>
      </c>
      <c r="G37" s="28">
        <v>0.80994758485579355</v>
      </c>
      <c r="I37" s="1">
        <v>1</v>
      </c>
      <c r="J37" s="1">
        <v>1</v>
      </c>
      <c r="L37" s="5" t="s">
        <v>477</v>
      </c>
      <c r="M37" s="6">
        <v>8</v>
      </c>
      <c r="N37" s="5" t="s">
        <v>443</v>
      </c>
      <c r="P37" s="1" t="s">
        <v>817</v>
      </c>
      <c r="Q37">
        <v>0.17</v>
      </c>
      <c r="R37">
        <v>0.11</v>
      </c>
      <c r="S37">
        <v>0.27</v>
      </c>
    </row>
    <row r="38" spans="1:20" ht="48">
      <c r="A38" s="62" t="s">
        <v>498</v>
      </c>
      <c r="B38" s="63" t="s">
        <v>307</v>
      </c>
      <c r="C38" s="63" t="s">
        <v>148</v>
      </c>
      <c r="D38" s="64" t="s">
        <v>0</v>
      </c>
      <c r="E38" s="63" t="s">
        <v>30</v>
      </c>
      <c r="F38" s="65">
        <v>31</v>
      </c>
      <c r="G38" s="66">
        <v>1.344397990175465</v>
      </c>
      <c r="H38" s="70">
        <v>117322.23632844751</v>
      </c>
      <c r="I38" s="1">
        <v>3</v>
      </c>
      <c r="J38" s="1">
        <v>1</v>
      </c>
      <c r="K38">
        <v>1</v>
      </c>
      <c r="L38" s="5" t="s">
        <v>477</v>
      </c>
      <c r="M38" s="6">
        <v>8</v>
      </c>
      <c r="N38" s="5" t="s">
        <v>433</v>
      </c>
      <c r="O38" s="67">
        <v>1</v>
      </c>
      <c r="P38" s="64" t="s">
        <v>770</v>
      </c>
      <c r="Q38" s="67">
        <v>0.57999999999999996</v>
      </c>
      <c r="R38" s="67">
        <v>0.44</v>
      </c>
      <c r="S38" s="67">
        <v>0.77</v>
      </c>
      <c r="T38" s="69">
        <f>0.291536181212621*(0.88)</f>
        <v>0.25655183946710647</v>
      </c>
    </row>
    <row r="39" spans="1:20" ht="32">
      <c r="A39" t="s">
        <v>503</v>
      </c>
      <c r="B39" s="1" t="s">
        <v>328</v>
      </c>
      <c r="C39" s="1" t="s">
        <v>195</v>
      </c>
      <c r="D39" s="1" t="s">
        <v>0</v>
      </c>
      <c r="E39"/>
      <c r="F39" s="1">
        <v>63</v>
      </c>
      <c r="G39" s="28">
        <v>171.59430847972808</v>
      </c>
      <c r="I39" s="1">
        <v>5</v>
      </c>
      <c r="J39" s="1">
        <v>1</v>
      </c>
      <c r="K39">
        <v>1</v>
      </c>
      <c r="L39" s="5" t="s">
        <v>504</v>
      </c>
      <c r="M39" s="6">
        <v>9</v>
      </c>
      <c r="N39" s="5" t="s">
        <v>433</v>
      </c>
      <c r="P39" s="1"/>
    </row>
    <row r="40" spans="1:20">
      <c r="A40" t="s">
        <v>715</v>
      </c>
      <c r="B40" s="1" t="s">
        <v>323</v>
      </c>
      <c r="C40" s="1" t="s">
        <v>35</v>
      </c>
      <c r="D40" s="1" t="s">
        <v>0</v>
      </c>
      <c r="E40"/>
      <c r="F40" s="1">
        <v>324</v>
      </c>
      <c r="G40" s="28">
        <v>2.8255201523976186</v>
      </c>
      <c r="I40" s="1">
        <v>2</v>
      </c>
      <c r="J40" s="1">
        <v>1</v>
      </c>
      <c r="L40" s="5" t="s">
        <v>504</v>
      </c>
      <c r="M40" s="6">
        <v>9</v>
      </c>
      <c r="N40" s="5" t="s">
        <v>443</v>
      </c>
      <c r="P40" s="1"/>
    </row>
    <row r="41" spans="1:20" ht="32">
      <c r="A41" t="s">
        <v>553</v>
      </c>
      <c r="B41" s="1" t="s">
        <v>260</v>
      </c>
      <c r="C41" s="1" t="s">
        <v>193</v>
      </c>
      <c r="D41" s="1" t="s">
        <v>0</v>
      </c>
      <c r="E41"/>
      <c r="F41" s="1"/>
      <c r="G41" s="28">
        <v>9.4E-2</v>
      </c>
      <c r="I41" s="1"/>
      <c r="J41" s="1"/>
      <c r="L41" s="5" t="s">
        <v>492</v>
      </c>
      <c r="M41" s="6">
        <v>10</v>
      </c>
      <c r="N41" s="5" t="s">
        <v>433</v>
      </c>
      <c r="P41" s="1"/>
    </row>
    <row r="42" spans="1:20" ht="48">
      <c r="A42" t="s">
        <v>532</v>
      </c>
      <c r="B42" s="1" t="s">
        <v>329</v>
      </c>
      <c r="C42" s="1" t="s">
        <v>180</v>
      </c>
      <c r="D42" s="1" t="s">
        <v>0</v>
      </c>
      <c r="E42"/>
      <c r="F42" s="1"/>
      <c r="G42" s="28">
        <v>9.4E-2</v>
      </c>
      <c r="I42" s="1"/>
      <c r="J42" s="1"/>
      <c r="L42" s="7" t="s">
        <v>492</v>
      </c>
      <c r="M42" s="8">
        <v>10</v>
      </c>
      <c r="N42" s="7" t="s">
        <v>443</v>
      </c>
      <c r="P42" s="1"/>
    </row>
    <row r="43" spans="1:20" ht="32">
      <c r="A43" t="s">
        <v>521</v>
      </c>
      <c r="B43" s="1" t="s">
        <v>303</v>
      </c>
      <c r="C43" s="1" t="s">
        <v>104</v>
      </c>
      <c r="D43" s="1" t="s">
        <v>0</v>
      </c>
      <c r="E43"/>
      <c r="F43" s="1"/>
      <c r="G43" s="28">
        <v>5.2529935346168033</v>
      </c>
      <c r="I43" s="1">
        <v>1</v>
      </c>
      <c r="J43" s="1">
        <v>1</v>
      </c>
      <c r="L43" s="5" t="s">
        <v>431</v>
      </c>
      <c r="M43" s="6">
        <v>11</v>
      </c>
      <c r="N43" s="5" t="s">
        <v>451</v>
      </c>
      <c r="P43" s="1"/>
    </row>
    <row r="44" spans="1:20">
      <c r="A44" t="s">
        <v>682</v>
      </c>
      <c r="B44" s="1" t="s">
        <v>25</v>
      </c>
      <c r="C44" s="1" t="s">
        <v>25</v>
      </c>
      <c r="D44" s="1" t="s">
        <v>0</v>
      </c>
      <c r="E44"/>
      <c r="F44" s="1"/>
      <c r="G44" s="28">
        <v>0.14000000000000001</v>
      </c>
      <c r="I44" s="1">
        <v>0</v>
      </c>
      <c r="J44" s="1">
        <v>1</v>
      </c>
      <c r="L44" s="5" t="s">
        <v>460</v>
      </c>
      <c r="M44" s="6">
        <v>13</v>
      </c>
      <c r="N44" s="5" t="s">
        <v>443</v>
      </c>
      <c r="P44" s="1"/>
    </row>
    <row r="45" spans="1:20" ht="32">
      <c r="A45" t="s">
        <v>550</v>
      </c>
      <c r="B45" s="1" t="s">
        <v>300</v>
      </c>
      <c r="C45" s="1" t="s">
        <v>161</v>
      </c>
      <c r="D45" s="1" t="s">
        <v>0</v>
      </c>
      <c r="E45"/>
      <c r="F45" s="1"/>
      <c r="G45" s="28">
        <v>0.21691828689811607</v>
      </c>
      <c r="I45" s="1"/>
      <c r="J45" s="1"/>
      <c r="L45" s="5" t="s">
        <v>551</v>
      </c>
      <c r="M45" s="6">
        <v>16</v>
      </c>
      <c r="N45" s="5" t="s">
        <v>443</v>
      </c>
      <c r="P45" s="1"/>
    </row>
    <row r="46" spans="1:20" ht="32">
      <c r="A46" s="18" t="s">
        <v>437</v>
      </c>
      <c r="B46" s="17" t="s">
        <v>421</v>
      </c>
      <c r="C46" s="17" t="s">
        <v>168</v>
      </c>
      <c r="D46" s="5" t="s">
        <v>0</v>
      </c>
      <c r="E46" s="17" t="s">
        <v>93</v>
      </c>
      <c r="F46" s="16">
        <v>32</v>
      </c>
      <c r="G46" s="29">
        <v>1.7682070449764991</v>
      </c>
      <c r="H46" s="11">
        <v>36930.808412802857</v>
      </c>
      <c r="I46" s="1">
        <v>4</v>
      </c>
      <c r="J46" s="1">
        <v>1</v>
      </c>
      <c r="K46">
        <v>1</v>
      </c>
      <c r="L46" s="7" t="s">
        <v>438</v>
      </c>
      <c r="M46" s="8">
        <v>2</v>
      </c>
      <c r="N46" s="7" t="s">
        <v>433</v>
      </c>
      <c r="O46" s="4">
        <v>1</v>
      </c>
      <c r="P46" s="17" t="s">
        <v>770</v>
      </c>
      <c r="Q46" s="4">
        <v>0.97</v>
      </c>
      <c r="R46" s="4">
        <v>0.46</v>
      </c>
      <c r="S46" s="4">
        <v>2.0499999999999998</v>
      </c>
      <c r="T46" s="26">
        <f>0.521573045605626*(0.88)</f>
        <v>0.45898428013295089</v>
      </c>
    </row>
    <row r="47" spans="1:20" ht="32">
      <c r="A47" t="s">
        <v>627</v>
      </c>
      <c r="B47" s="1" t="s">
        <v>267</v>
      </c>
      <c r="C47" s="1" t="s">
        <v>185</v>
      </c>
      <c r="D47" s="1" t="s">
        <v>0</v>
      </c>
      <c r="E47"/>
      <c r="F47" s="1"/>
      <c r="G47" s="28">
        <v>3.0219082286381651</v>
      </c>
      <c r="I47" s="1">
        <v>2</v>
      </c>
      <c r="J47" s="1">
        <v>1</v>
      </c>
      <c r="L47" s="5" t="s">
        <v>551</v>
      </c>
      <c r="M47" s="6">
        <v>16</v>
      </c>
      <c r="N47" s="5" t="s">
        <v>451</v>
      </c>
      <c r="P47" s="1"/>
    </row>
    <row r="48" spans="1:20">
      <c r="A48" s="4" t="s">
        <v>541</v>
      </c>
      <c r="B48" s="5" t="s">
        <v>391</v>
      </c>
      <c r="C48" s="5" t="s">
        <v>74</v>
      </c>
      <c r="D48" s="5" t="s">
        <v>1</v>
      </c>
      <c r="E48" s="4" t="s">
        <v>826</v>
      </c>
      <c r="F48" s="5">
        <v>33.33</v>
      </c>
      <c r="G48" s="29">
        <v>1.2581054540850005</v>
      </c>
      <c r="H48" s="31">
        <v>261233.64663528558</v>
      </c>
      <c r="I48" s="1">
        <v>4</v>
      </c>
      <c r="J48" s="1">
        <v>1</v>
      </c>
      <c r="K48">
        <v>1</v>
      </c>
      <c r="L48" s="5" t="s">
        <v>447</v>
      </c>
      <c r="M48" s="6">
        <v>18</v>
      </c>
      <c r="N48" s="5" t="s">
        <v>443</v>
      </c>
      <c r="O48" s="31">
        <v>1</v>
      </c>
      <c r="P48" s="5"/>
      <c r="Q48" s="4"/>
      <c r="R48" s="4"/>
      <c r="S48" s="4"/>
      <c r="T48" s="26">
        <f>0.1*(0.88)</f>
        <v>8.8000000000000009E-2</v>
      </c>
    </row>
    <row r="49" spans="1:20">
      <c r="A49" t="s">
        <v>467</v>
      </c>
      <c r="B49" s="1" t="s">
        <v>257</v>
      </c>
      <c r="C49" s="1" t="s">
        <v>55</v>
      </c>
      <c r="D49" s="1" t="s">
        <v>0</v>
      </c>
      <c r="E49"/>
      <c r="F49" s="1">
        <v>19560</v>
      </c>
      <c r="G49" s="28">
        <v>5.2529935346168033</v>
      </c>
      <c r="I49" s="1">
        <v>1</v>
      </c>
      <c r="J49" s="1">
        <v>1</v>
      </c>
      <c r="L49" s="5" t="s">
        <v>436</v>
      </c>
      <c r="M49" s="6">
        <v>19</v>
      </c>
      <c r="N49" s="5" t="s">
        <v>451</v>
      </c>
      <c r="P49" s="21" t="s">
        <v>770</v>
      </c>
      <c r="Q49">
        <v>0.74</v>
      </c>
      <c r="R49">
        <v>0.64</v>
      </c>
      <c r="S49">
        <v>0.86</v>
      </c>
    </row>
    <row r="50" spans="1:20" ht="32">
      <c r="A50" t="s">
        <v>505</v>
      </c>
      <c r="B50" s="1" t="s">
        <v>299</v>
      </c>
      <c r="C50" s="1" t="s">
        <v>57</v>
      </c>
      <c r="D50" s="1" t="s">
        <v>0</v>
      </c>
      <c r="E50"/>
      <c r="F50" s="1"/>
      <c r="G50" s="28">
        <v>5.2529935346168033</v>
      </c>
      <c r="I50" s="1">
        <v>1</v>
      </c>
      <c r="J50" s="1">
        <v>1</v>
      </c>
      <c r="L50" s="5" t="s">
        <v>436</v>
      </c>
      <c r="M50" s="6">
        <v>19</v>
      </c>
      <c r="N50" s="5" t="s">
        <v>451</v>
      </c>
      <c r="P50" s="1"/>
    </row>
    <row r="51" spans="1:20" ht="32">
      <c r="A51" s="39" t="s">
        <v>722</v>
      </c>
      <c r="B51" s="40" t="s">
        <v>272</v>
      </c>
      <c r="C51" s="40" t="s">
        <v>117</v>
      </c>
      <c r="D51" s="41" t="s">
        <v>31</v>
      </c>
      <c r="E51" s="40" t="s">
        <v>748</v>
      </c>
      <c r="F51" s="42">
        <v>36.340000000000003</v>
      </c>
      <c r="G51" s="43">
        <v>19.359239841281244</v>
      </c>
      <c r="H51" s="49">
        <v>1044797.0683604684</v>
      </c>
      <c r="I51" s="1">
        <v>3</v>
      </c>
      <c r="J51" s="1">
        <v>1</v>
      </c>
      <c r="K51">
        <v>1</v>
      </c>
      <c r="L51" s="5" t="s">
        <v>461</v>
      </c>
      <c r="M51" s="6">
        <v>1</v>
      </c>
      <c r="N51" s="5" t="s">
        <v>433</v>
      </c>
      <c r="O51" s="44">
        <v>1</v>
      </c>
      <c r="P51" s="53" t="s">
        <v>770</v>
      </c>
      <c r="Q51" s="44">
        <v>0.57999999999999996</v>
      </c>
      <c r="R51" s="44">
        <v>0.41</v>
      </c>
      <c r="S51" s="44">
        <v>0.82</v>
      </c>
      <c r="T51" s="48">
        <f>0.253110379496502*(0.88)</f>
        <v>0.22273713395692177</v>
      </c>
    </row>
    <row r="52" spans="1:20" ht="32">
      <c r="A52" t="s">
        <v>556</v>
      </c>
      <c r="B52" s="1" t="s">
        <v>265</v>
      </c>
      <c r="C52" s="1" t="s">
        <v>199</v>
      </c>
      <c r="D52" s="1" t="s">
        <v>0</v>
      </c>
      <c r="E52"/>
      <c r="F52" s="1"/>
      <c r="G52" s="28">
        <v>5.2529935346168033</v>
      </c>
      <c r="I52" s="1">
        <v>1</v>
      </c>
      <c r="J52" s="1">
        <v>1</v>
      </c>
      <c r="L52" s="5" t="s">
        <v>436</v>
      </c>
      <c r="M52" s="6">
        <v>19</v>
      </c>
      <c r="N52" s="5" t="s">
        <v>451</v>
      </c>
      <c r="P52" s="1" t="s">
        <v>776</v>
      </c>
      <c r="Q52">
        <v>0.88</v>
      </c>
      <c r="R52">
        <v>0.8</v>
      </c>
      <c r="S52">
        <v>0.96</v>
      </c>
    </row>
    <row r="53" spans="1:20" ht="32">
      <c r="A53" t="s">
        <v>571</v>
      </c>
      <c r="B53" s="1" t="s">
        <v>268</v>
      </c>
      <c r="C53" s="1" t="s">
        <v>200</v>
      </c>
      <c r="D53" s="1" t="s">
        <v>0</v>
      </c>
      <c r="E53"/>
      <c r="F53" s="1"/>
      <c r="G53" s="28">
        <v>5.2529935346168033</v>
      </c>
      <c r="I53" s="1">
        <v>1</v>
      </c>
      <c r="J53" s="1">
        <v>1</v>
      </c>
      <c r="L53" s="7" t="s">
        <v>436</v>
      </c>
      <c r="M53" s="8">
        <v>19</v>
      </c>
      <c r="N53" s="7" t="s">
        <v>451</v>
      </c>
      <c r="P53" s="1"/>
    </row>
    <row r="54" spans="1:20" ht="64">
      <c r="A54" t="s">
        <v>454</v>
      </c>
      <c r="B54" s="1" t="s">
        <v>315</v>
      </c>
      <c r="C54" s="1" t="s">
        <v>201</v>
      </c>
      <c r="D54" s="1" t="s">
        <v>0</v>
      </c>
      <c r="E54"/>
      <c r="F54" s="1"/>
      <c r="G54" s="28">
        <v>5.2529935346168033</v>
      </c>
      <c r="I54" s="1">
        <v>1</v>
      </c>
      <c r="J54" s="1">
        <v>1</v>
      </c>
      <c r="L54" s="5" t="s">
        <v>436</v>
      </c>
      <c r="M54" s="6">
        <v>19</v>
      </c>
      <c r="N54" s="5" t="s">
        <v>451</v>
      </c>
      <c r="P54" s="1"/>
    </row>
    <row r="55" spans="1:20" ht="32">
      <c r="A55" t="s">
        <v>710</v>
      </c>
      <c r="B55" s="1" t="s">
        <v>330</v>
      </c>
      <c r="C55" s="1" t="s">
        <v>56</v>
      </c>
      <c r="D55" s="1" t="s">
        <v>0</v>
      </c>
      <c r="E55"/>
      <c r="F55" s="1"/>
      <c r="G55" s="28">
        <v>5.2529935346168033</v>
      </c>
      <c r="I55" s="1">
        <v>1</v>
      </c>
      <c r="J55" s="1">
        <v>1</v>
      </c>
      <c r="L55" s="5" t="s">
        <v>436</v>
      </c>
      <c r="M55" s="6">
        <v>19</v>
      </c>
      <c r="N55" s="5" t="s">
        <v>451</v>
      </c>
      <c r="P55" s="1"/>
    </row>
    <row r="56" spans="1:20" ht="48">
      <c r="A56" t="s">
        <v>711</v>
      </c>
      <c r="B56" s="1" t="s">
        <v>324</v>
      </c>
      <c r="C56" s="1" t="s">
        <v>78</v>
      </c>
      <c r="D56" s="1" t="s">
        <v>0</v>
      </c>
      <c r="E56"/>
      <c r="F56" s="1">
        <v>1</v>
      </c>
      <c r="G56" s="28">
        <v>5.2529935346168033</v>
      </c>
      <c r="I56" s="1">
        <v>1</v>
      </c>
      <c r="J56" s="1">
        <v>1</v>
      </c>
      <c r="L56" s="5" t="s">
        <v>436</v>
      </c>
      <c r="M56" s="6">
        <v>19</v>
      </c>
      <c r="N56" s="5" t="s">
        <v>451</v>
      </c>
      <c r="P56" s="1"/>
    </row>
    <row r="57" spans="1:20">
      <c r="A57" s="4" t="s">
        <v>463</v>
      </c>
      <c r="B57" s="5" t="s">
        <v>411</v>
      </c>
      <c r="C57" s="5" t="s">
        <v>69</v>
      </c>
      <c r="D57" s="5" t="s">
        <v>1</v>
      </c>
      <c r="E57" s="4" t="s">
        <v>828</v>
      </c>
      <c r="F57" s="5">
        <v>47.24</v>
      </c>
      <c r="G57" s="29">
        <v>1.2581054540850005</v>
      </c>
      <c r="H57" s="31">
        <v>148903.23179999998</v>
      </c>
      <c r="I57" s="1">
        <v>5</v>
      </c>
      <c r="J57" s="1">
        <v>3</v>
      </c>
      <c r="K57">
        <v>1</v>
      </c>
      <c r="L57" s="5" t="s">
        <v>464</v>
      </c>
      <c r="M57" s="6" t="s">
        <v>465</v>
      </c>
      <c r="N57" s="5" t="s">
        <v>433</v>
      </c>
      <c r="O57" s="4">
        <v>1</v>
      </c>
      <c r="P57" s="5"/>
      <c r="Q57" s="4"/>
      <c r="R57" s="4"/>
      <c r="S57" s="4"/>
      <c r="T57" s="26">
        <f>0.1*(0.88)</f>
        <v>8.8000000000000009E-2</v>
      </c>
    </row>
    <row r="58" spans="1:20">
      <c r="A58" s="4" t="s">
        <v>482</v>
      </c>
      <c r="B58" s="5" t="s">
        <v>9</v>
      </c>
      <c r="C58" s="5" t="s">
        <v>9</v>
      </c>
      <c r="D58" s="5" t="s">
        <v>1</v>
      </c>
      <c r="E58" s="4"/>
      <c r="F58" s="5">
        <v>47.24</v>
      </c>
      <c r="G58" s="29">
        <v>1.2581054540850005</v>
      </c>
      <c r="H58" s="31">
        <v>203762.31719999999</v>
      </c>
      <c r="I58" s="1">
        <v>5</v>
      </c>
      <c r="J58" s="1">
        <v>3</v>
      </c>
      <c r="K58">
        <v>1</v>
      </c>
      <c r="L58" s="5" t="s">
        <v>447</v>
      </c>
      <c r="M58" s="6">
        <v>18</v>
      </c>
      <c r="N58" s="5" t="s">
        <v>433</v>
      </c>
      <c r="O58" s="31">
        <v>1</v>
      </c>
      <c r="P58" s="5" t="s">
        <v>785</v>
      </c>
      <c r="Q58" s="4">
        <v>0.15</v>
      </c>
      <c r="R58" s="4">
        <v>0.04</v>
      </c>
      <c r="S58" s="4">
        <v>0.48</v>
      </c>
      <c r="T58" s="26">
        <f>0.1*(0.88)</f>
        <v>8.8000000000000009E-2</v>
      </c>
    </row>
    <row r="59" spans="1:20" ht="32">
      <c r="A59" s="4" t="s">
        <v>651</v>
      </c>
      <c r="B59" s="5" t="s">
        <v>289</v>
      </c>
      <c r="C59" s="5" t="s">
        <v>108</v>
      </c>
      <c r="D59" s="5" t="s">
        <v>1</v>
      </c>
      <c r="E59" s="4" t="s">
        <v>823</v>
      </c>
      <c r="F59" s="5">
        <v>47.24</v>
      </c>
      <c r="G59" s="29">
        <v>8.3534309547213681</v>
      </c>
      <c r="H59" s="31">
        <v>3144193.0985449404</v>
      </c>
      <c r="I59" s="1">
        <v>4</v>
      </c>
      <c r="J59" s="1">
        <v>1</v>
      </c>
      <c r="K59">
        <v>1</v>
      </c>
      <c r="L59" s="5" t="s">
        <v>447</v>
      </c>
      <c r="M59" s="6">
        <v>18</v>
      </c>
      <c r="N59" s="5" t="s">
        <v>433</v>
      </c>
      <c r="O59" s="31">
        <v>1</v>
      </c>
      <c r="P59" s="5"/>
      <c r="Q59" s="4"/>
      <c r="R59" s="4"/>
      <c r="S59" s="4"/>
      <c r="T59" s="26">
        <f>0.971287503066559*(0.88)</f>
        <v>0.85473300269857189</v>
      </c>
    </row>
    <row r="60" spans="1:20" ht="32">
      <c r="A60" s="4" t="s">
        <v>659</v>
      </c>
      <c r="B60" s="5" t="s">
        <v>291</v>
      </c>
      <c r="C60" s="5" t="s">
        <v>225</v>
      </c>
      <c r="D60" s="5" t="s">
        <v>1</v>
      </c>
      <c r="E60" s="4" t="s">
        <v>822</v>
      </c>
      <c r="F60" s="5">
        <v>47.24</v>
      </c>
      <c r="G60" s="29">
        <v>6.6578227499972709</v>
      </c>
      <c r="H60" s="31">
        <v>10324006.515675416</v>
      </c>
      <c r="I60" s="1">
        <v>4</v>
      </c>
      <c r="J60" s="1">
        <v>1</v>
      </c>
      <c r="K60">
        <v>1</v>
      </c>
      <c r="L60" s="5" t="s">
        <v>447</v>
      </c>
      <c r="M60" s="6">
        <v>18</v>
      </c>
      <c r="N60" s="5" t="s">
        <v>433</v>
      </c>
      <c r="O60" s="31">
        <v>1</v>
      </c>
      <c r="P60" s="5"/>
      <c r="Q60" s="4"/>
      <c r="R60" s="4"/>
      <c r="S60" s="4"/>
      <c r="T60" s="26">
        <f>0.914621617596728*(0.88)</f>
        <v>0.80486702348512063</v>
      </c>
    </row>
    <row r="61" spans="1:20" ht="32">
      <c r="A61" t="s">
        <v>471</v>
      </c>
      <c r="B61" s="1" t="s">
        <v>385</v>
      </c>
      <c r="C61" s="1" t="s">
        <v>22</v>
      </c>
      <c r="D61" s="1" t="s">
        <v>1</v>
      </c>
      <c r="E61"/>
      <c r="F61" s="1"/>
      <c r="G61" s="28">
        <v>231.27734299174813</v>
      </c>
      <c r="I61" s="1">
        <v>5</v>
      </c>
      <c r="J61" s="1">
        <v>3</v>
      </c>
      <c r="L61" s="5" t="s">
        <v>461</v>
      </c>
      <c r="M61" s="6">
        <v>1</v>
      </c>
      <c r="N61" s="5" t="s">
        <v>443</v>
      </c>
      <c r="P61" s="1" t="s">
        <v>777</v>
      </c>
      <c r="Q61">
        <v>0.8</v>
      </c>
      <c r="R61" t="s">
        <v>772</v>
      </c>
      <c r="S61" t="s">
        <v>772</v>
      </c>
    </row>
    <row r="62" spans="1:20" ht="48">
      <c r="A62" s="18" t="s">
        <v>573</v>
      </c>
      <c r="B62" s="17" t="s">
        <v>309</v>
      </c>
      <c r="C62" s="17" t="s">
        <v>156</v>
      </c>
      <c r="D62" s="5" t="s">
        <v>0</v>
      </c>
      <c r="E62" s="17" t="s">
        <v>30</v>
      </c>
      <c r="F62" s="16">
        <v>49</v>
      </c>
      <c r="G62" s="29">
        <v>0.4495242026345686</v>
      </c>
      <c r="H62" s="10">
        <v>55396.959999999999</v>
      </c>
      <c r="I62" s="1">
        <v>1</v>
      </c>
      <c r="J62" s="1">
        <v>1</v>
      </c>
      <c r="K62">
        <v>1</v>
      </c>
      <c r="L62" s="5" t="s">
        <v>574</v>
      </c>
      <c r="M62" s="6" t="s">
        <v>575</v>
      </c>
      <c r="N62" s="5" t="s">
        <v>451</v>
      </c>
      <c r="O62" s="4">
        <v>1</v>
      </c>
      <c r="P62" s="36" t="s">
        <v>770</v>
      </c>
      <c r="Q62" s="4">
        <v>0.69</v>
      </c>
      <c r="R62" s="4">
        <v>0.49</v>
      </c>
      <c r="S62" s="4">
        <v>0.98</v>
      </c>
      <c r="T62" s="26">
        <v>0.4</v>
      </c>
    </row>
    <row r="63" spans="1:20" ht="48">
      <c r="A63" s="18" t="s">
        <v>558</v>
      </c>
      <c r="B63" s="17" t="s">
        <v>262</v>
      </c>
      <c r="C63" s="17" t="s">
        <v>155</v>
      </c>
      <c r="D63" s="5" t="s">
        <v>0</v>
      </c>
      <c r="E63" s="17" t="s">
        <v>30</v>
      </c>
      <c r="F63" s="16">
        <v>54</v>
      </c>
      <c r="G63" s="29">
        <v>0.52964517770802444</v>
      </c>
      <c r="H63" s="10">
        <v>52685.46</v>
      </c>
      <c r="I63" s="1">
        <v>1</v>
      </c>
      <c r="J63" s="1">
        <v>1</v>
      </c>
      <c r="K63">
        <v>1</v>
      </c>
      <c r="L63" s="7" t="s">
        <v>559</v>
      </c>
      <c r="M63" s="8" t="s">
        <v>560</v>
      </c>
      <c r="N63" s="7" t="s">
        <v>443</v>
      </c>
      <c r="O63" s="4">
        <v>1</v>
      </c>
      <c r="P63" s="17" t="s">
        <v>816</v>
      </c>
      <c r="Q63" s="4">
        <v>0.86</v>
      </c>
      <c r="R63" s="4">
        <v>0.77</v>
      </c>
      <c r="S63" s="4">
        <v>0.95</v>
      </c>
      <c r="T63" s="26">
        <v>0.4</v>
      </c>
    </row>
    <row r="64" spans="1:20" ht="48">
      <c r="A64" s="18" t="s">
        <v>570</v>
      </c>
      <c r="B64" s="17" t="s">
        <v>271</v>
      </c>
      <c r="C64" s="17" t="s">
        <v>125</v>
      </c>
      <c r="D64" s="5" t="s">
        <v>31</v>
      </c>
      <c r="E64" s="17" t="s">
        <v>750</v>
      </c>
      <c r="F64" s="16">
        <v>58</v>
      </c>
      <c r="G64" s="29">
        <v>3.7221219114560213</v>
      </c>
      <c r="H64" s="11">
        <v>12111225.749893915</v>
      </c>
      <c r="I64" s="1">
        <v>3</v>
      </c>
      <c r="J64" s="1">
        <v>2</v>
      </c>
      <c r="K64">
        <v>1</v>
      </c>
      <c r="L64" s="5" t="s">
        <v>438</v>
      </c>
      <c r="M64" s="6">
        <v>2</v>
      </c>
      <c r="N64" s="5" t="s">
        <v>433</v>
      </c>
      <c r="O64" s="4">
        <v>1</v>
      </c>
      <c r="P64" s="36" t="s">
        <v>770</v>
      </c>
      <c r="Q64" s="4">
        <v>0.85</v>
      </c>
      <c r="R64" s="4">
        <v>0.78</v>
      </c>
      <c r="S64" s="4">
        <v>0.93</v>
      </c>
      <c r="T64" s="26">
        <f>0.444221784218981*(0.88)</f>
        <v>0.39091517011270327</v>
      </c>
    </row>
    <row r="65" spans="1:20" ht="32">
      <c r="A65" t="s">
        <v>468</v>
      </c>
      <c r="B65" s="1" t="s">
        <v>386</v>
      </c>
      <c r="C65" s="1" t="s">
        <v>113</v>
      </c>
      <c r="D65" s="1" t="s">
        <v>1</v>
      </c>
      <c r="E65"/>
      <c r="F65" s="1"/>
      <c r="G65" s="28">
        <v>35.577304550758463</v>
      </c>
      <c r="I65" s="1">
        <v>2</v>
      </c>
      <c r="J65" s="1">
        <v>1</v>
      </c>
      <c r="K65">
        <v>1</v>
      </c>
      <c r="L65" s="5" t="s">
        <v>469</v>
      </c>
      <c r="M65" s="6" t="s">
        <v>470</v>
      </c>
      <c r="N65" s="5" t="s">
        <v>451</v>
      </c>
      <c r="P65" s="1"/>
    </row>
    <row r="66" spans="1:20" ht="48">
      <c r="A66" s="62" t="s">
        <v>592</v>
      </c>
      <c r="B66" s="63" t="s">
        <v>395</v>
      </c>
      <c r="C66" s="63" t="s">
        <v>209</v>
      </c>
      <c r="D66" s="64" t="s">
        <v>31</v>
      </c>
      <c r="E66" s="63" t="s">
        <v>747</v>
      </c>
      <c r="F66" s="65">
        <v>62.55</v>
      </c>
      <c r="G66" s="66">
        <v>7.4900031183195228</v>
      </c>
      <c r="H66" s="68">
        <v>4038627.9779299479</v>
      </c>
      <c r="I66" s="1">
        <v>3</v>
      </c>
      <c r="J66" s="1">
        <v>1</v>
      </c>
      <c r="K66">
        <v>1</v>
      </c>
      <c r="L66" s="5" t="s">
        <v>469</v>
      </c>
      <c r="M66" s="6" t="s">
        <v>470</v>
      </c>
      <c r="N66" s="5" t="s">
        <v>433</v>
      </c>
      <c r="O66" s="67">
        <v>1</v>
      </c>
      <c r="P66" s="63" t="s">
        <v>791</v>
      </c>
      <c r="Q66" s="67">
        <v>0.5</v>
      </c>
      <c r="R66" s="67">
        <v>0.3</v>
      </c>
      <c r="S66" s="67">
        <v>0.9</v>
      </c>
      <c r="T66" s="69">
        <f>0.708210560611961*(0.88)</f>
        <v>0.62322529333852561</v>
      </c>
    </row>
    <row r="67" spans="1:20">
      <c r="A67" s="18" t="s">
        <v>488</v>
      </c>
      <c r="B67" s="17" t="s">
        <v>316</v>
      </c>
      <c r="C67" s="17" t="s">
        <v>124</v>
      </c>
      <c r="D67" s="5" t="s">
        <v>0</v>
      </c>
      <c r="E67" s="18" t="s">
        <v>88</v>
      </c>
      <c r="F67" s="16">
        <v>64</v>
      </c>
      <c r="G67" s="29">
        <v>0</v>
      </c>
      <c r="H67" s="10">
        <v>166318.47999999998</v>
      </c>
      <c r="I67" s="1">
        <v>5</v>
      </c>
      <c r="J67" s="1">
        <v>1</v>
      </c>
      <c r="K67">
        <v>1</v>
      </c>
      <c r="L67" s="5" t="s">
        <v>438</v>
      </c>
      <c r="M67" s="6">
        <v>2</v>
      </c>
      <c r="N67" s="5" t="s">
        <v>451</v>
      </c>
      <c r="O67" s="4">
        <v>1</v>
      </c>
      <c r="P67" s="17" t="s">
        <v>816</v>
      </c>
      <c r="Q67" s="4">
        <v>0.37</v>
      </c>
      <c r="R67" s="4">
        <v>0.21</v>
      </c>
      <c r="S67" s="4">
        <v>0.66</v>
      </c>
      <c r="T67" s="26">
        <v>0.4</v>
      </c>
    </row>
    <row r="68" spans="1:20" ht="48">
      <c r="A68" s="18" t="s">
        <v>448</v>
      </c>
      <c r="B68" s="17" t="s">
        <v>326</v>
      </c>
      <c r="C68" s="17" t="s">
        <v>142</v>
      </c>
      <c r="D68" s="5" t="s">
        <v>31</v>
      </c>
      <c r="E68" s="20" t="s">
        <v>88</v>
      </c>
      <c r="F68" s="16">
        <v>64</v>
      </c>
      <c r="G68" s="29">
        <v>2.2046229513898377</v>
      </c>
      <c r="H68" s="11">
        <v>50607.800840755408</v>
      </c>
      <c r="I68" s="1">
        <v>5</v>
      </c>
      <c r="J68" s="1">
        <v>1</v>
      </c>
      <c r="K68">
        <v>1</v>
      </c>
      <c r="L68" s="5" t="s">
        <v>449</v>
      </c>
      <c r="M68" s="6" t="s">
        <v>450</v>
      </c>
      <c r="N68" s="5" t="s">
        <v>451</v>
      </c>
      <c r="O68" s="4">
        <v>1</v>
      </c>
      <c r="P68" s="20"/>
      <c r="Q68" s="4"/>
      <c r="R68" s="4"/>
      <c r="S68" s="4"/>
      <c r="T68" s="26">
        <f>0.437638685361166*(0.88)</f>
        <v>0.38512204311782611</v>
      </c>
    </row>
    <row r="69" spans="1:20" ht="32">
      <c r="A69" s="4" t="s">
        <v>472</v>
      </c>
      <c r="B69" s="5" t="s">
        <v>389</v>
      </c>
      <c r="C69" s="5" t="s">
        <v>228</v>
      </c>
      <c r="D69" s="5" t="s">
        <v>1</v>
      </c>
      <c r="E69" s="4"/>
      <c r="F69" s="5">
        <v>69</v>
      </c>
      <c r="G69" s="29">
        <v>1.1496900605005875</v>
      </c>
      <c r="H69" s="11">
        <v>218914.48079999999</v>
      </c>
      <c r="I69" s="1">
        <v>5</v>
      </c>
      <c r="J69" s="1">
        <v>1</v>
      </c>
      <c r="K69">
        <v>1</v>
      </c>
      <c r="L69" s="5" t="s">
        <v>447</v>
      </c>
      <c r="M69" s="6">
        <v>18</v>
      </c>
      <c r="N69" s="5" t="s">
        <v>433</v>
      </c>
      <c r="O69" s="31">
        <v>1</v>
      </c>
      <c r="P69" s="5" t="s">
        <v>786</v>
      </c>
      <c r="Q69" s="4">
        <v>0.17</v>
      </c>
      <c r="R69" s="4">
        <v>0.09</v>
      </c>
      <c r="S69" s="4">
        <v>0.32</v>
      </c>
      <c r="T69" s="26">
        <f>0.924908816360775*(0.88)</f>
        <v>0.8139197583974821</v>
      </c>
    </row>
    <row r="70" spans="1:20" ht="64">
      <c r="A70" s="39" t="s">
        <v>729</v>
      </c>
      <c r="B70" s="40" t="s">
        <v>319</v>
      </c>
      <c r="C70" s="40" t="s">
        <v>167</v>
      </c>
      <c r="D70" s="41" t="s">
        <v>0</v>
      </c>
      <c r="E70" s="40" t="s">
        <v>759</v>
      </c>
      <c r="F70" s="42">
        <v>88</v>
      </c>
      <c r="G70" s="43">
        <v>2.6294766808013823</v>
      </c>
      <c r="H70" s="52">
        <v>4274961.3094326118</v>
      </c>
      <c r="I70" s="1">
        <v>1</v>
      </c>
      <c r="J70" s="1">
        <v>1</v>
      </c>
      <c r="K70">
        <v>1</v>
      </c>
      <c r="L70" s="5" t="s">
        <v>730</v>
      </c>
      <c r="M70" s="6" t="s">
        <v>731</v>
      </c>
      <c r="N70" s="5" t="s">
        <v>443</v>
      </c>
      <c r="O70" s="44">
        <v>1</v>
      </c>
      <c r="P70" s="41" t="s">
        <v>770</v>
      </c>
      <c r="Q70" s="44">
        <v>0.76</v>
      </c>
      <c r="R70" s="44">
        <v>0.69</v>
      </c>
      <c r="S70" s="44">
        <v>0.83</v>
      </c>
      <c r="T70" s="48">
        <f>0.694433987716678*(0.88)</f>
        <v>0.61110190919067664</v>
      </c>
    </row>
    <row r="71" spans="1:20" ht="48">
      <c r="A71" s="18" t="s">
        <v>634</v>
      </c>
      <c r="B71" s="17" t="s">
        <v>308</v>
      </c>
      <c r="C71" s="17" t="s">
        <v>154</v>
      </c>
      <c r="D71" s="5" t="s">
        <v>0</v>
      </c>
      <c r="E71" s="17" t="s">
        <v>30</v>
      </c>
      <c r="F71" s="16">
        <v>93</v>
      </c>
      <c r="G71" s="29">
        <v>0</v>
      </c>
      <c r="H71" s="31">
        <v>90899.34</v>
      </c>
      <c r="I71" s="1">
        <v>3</v>
      </c>
      <c r="J71" s="1">
        <v>1</v>
      </c>
      <c r="K71">
        <v>1</v>
      </c>
      <c r="L71" s="5" t="s">
        <v>477</v>
      </c>
      <c r="M71" s="6">
        <v>8</v>
      </c>
      <c r="N71" s="5" t="s">
        <v>433</v>
      </c>
      <c r="O71" s="4">
        <v>1</v>
      </c>
      <c r="Q71" s="4"/>
      <c r="R71" s="4"/>
      <c r="S71" s="4"/>
      <c r="T71" s="26">
        <v>0.4</v>
      </c>
    </row>
    <row r="72" spans="1:20">
      <c r="A72" s="67" t="s">
        <v>511</v>
      </c>
      <c r="B72" s="64" t="s">
        <v>302</v>
      </c>
      <c r="C72" s="64" t="s">
        <v>184</v>
      </c>
      <c r="D72" s="64" t="s">
        <v>0</v>
      </c>
      <c r="E72" s="64" t="s">
        <v>765</v>
      </c>
      <c r="F72" s="64">
        <v>95</v>
      </c>
      <c r="G72" s="66">
        <v>216.54621737662529</v>
      </c>
      <c r="H72" s="70">
        <v>446921.99438356189</v>
      </c>
      <c r="I72" s="1">
        <v>3</v>
      </c>
      <c r="J72" s="1">
        <v>1</v>
      </c>
      <c r="K72">
        <v>1</v>
      </c>
      <c r="L72" s="5" t="s">
        <v>438</v>
      </c>
      <c r="M72" s="6">
        <v>2</v>
      </c>
      <c r="N72" s="5" t="s">
        <v>443</v>
      </c>
      <c r="O72" s="64">
        <v>1</v>
      </c>
      <c r="P72" s="64" t="s">
        <v>816</v>
      </c>
      <c r="Q72" s="67">
        <v>0.7</v>
      </c>
      <c r="R72" s="67">
        <v>0.57999999999999996</v>
      </c>
      <c r="S72" s="67">
        <v>0.85</v>
      </c>
      <c r="T72" s="69">
        <f>0.14396030496079*(0.88)</f>
        <v>0.1266850683654952</v>
      </c>
    </row>
    <row r="73" spans="1:20" ht="32">
      <c r="A73" t="s">
        <v>589</v>
      </c>
      <c r="B73" s="1" t="s">
        <v>287</v>
      </c>
      <c r="C73" s="1" t="s">
        <v>137</v>
      </c>
      <c r="D73" s="1" t="s">
        <v>1</v>
      </c>
      <c r="E73"/>
      <c r="F73" s="1">
        <v>2530</v>
      </c>
      <c r="G73" s="28">
        <v>451.40943607930217</v>
      </c>
      <c r="I73" s="1">
        <v>4</v>
      </c>
      <c r="J73" s="1">
        <v>1</v>
      </c>
      <c r="L73" s="5" t="s">
        <v>431</v>
      </c>
      <c r="M73" s="6">
        <v>11</v>
      </c>
      <c r="N73" s="5" t="s">
        <v>433</v>
      </c>
      <c r="P73" s="21" t="s">
        <v>818</v>
      </c>
      <c r="Q73">
        <v>0.47</v>
      </c>
      <c r="R73">
        <v>0.37</v>
      </c>
      <c r="S73">
        <v>0.61</v>
      </c>
    </row>
    <row r="74" spans="1:20" ht="48">
      <c r="A74" t="s">
        <v>434</v>
      </c>
      <c r="B74" s="1" t="s">
        <v>424</v>
      </c>
      <c r="C74" s="1" t="s">
        <v>138</v>
      </c>
      <c r="D74" s="1" t="s">
        <v>1</v>
      </c>
      <c r="E74"/>
      <c r="F74" s="1">
        <v>18</v>
      </c>
      <c r="G74" s="28">
        <v>552.21103030663323</v>
      </c>
      <c r="I74" s="1">
        <v>4</v>
      </c>
      <c r="J74" s="1">
        <v>1</v>
      </c>
      <c r="L74" s="7" t="s">
        <v>431</v>
      </c>
      <c r="M74" s="8">
        <v>11</v>
      </c>
      <c r="N74" s="7" t="s">
        <v>433</v>
      </c>
      <c r="P74" s="1" t="s">
        <v>780</v>
      </c>
      <c r="Q74">
        <v>0.73</v>
      </c>
      <c r="R74">
        <v>0.49</v>
      </c>
      <c r="S74">
        <v>1.07</v>
      </c>
    </row>
    <row r="75" spans="1:20" ht="48">
      <c r="A75" t="s">
        <v>430</v>
      </c>
      <c r="B75" s="1" t="s">
        <v>410</v>
      </c>
      <c r="C75" s="1" t="s">
        <v>101</v>
      </c>
      <c r="D75" s="1" t="s">
        <v>1</v>
      </c>
      <c r="E75"/>
      <c r="F75" s="1">
        <v>5488</v>
      </c>
      <c r="G75" s="28">
        <v>106.15677779056554</v>
      </c>
      <c r="I75" s="1">
        <v>4</v>
      </c>
      <c r="J75" s="1">
        <v>1</v>
      </c>
      <c r="L75" s="7" t="s">
        <v>431</v>
      </c>
      <c r="M75" s="8">
        <v>11</v>
      </c>
      <c r="N75" s="7" t="s">
        <v>433</v>
      </c>
      <c r="P75" s="21" t="s">
        <v>770</v>
      </c>
      <c r="Q75">
        <v>0.79</v>
      </c>
      <c r="R75">
        <v>0.65</v>
      </c>
      <c r="S75">
        <v>0.97</v>
      </c>
    </row>
    <row r="76" spans="1:20" ht="32">
      <c r="A76" s="4" t="s">
        <v>475</v>
      </c>
      <c r="B76" s="5" t="s">
        <v>390</v>
      </c>
      <c r="C76" s="5" t="s">
        <v>126</v>
      </c>
      <c r="D76" s="5" t="s">
        <v>1</v>
      </c>
      <c r="E76" s="4"/>
      <c r="F76" s="16">
        <v>98</v>
      </c>
      <c r="G76" s="29">
        <v>4.1806179675749728</v>
      </c>
      <c r="H76" s="31">
        <v>4144653.0479237847</v>
      </c>
      <c r="I76" s="1"/>
      <c r="J76" s="1">
        <v>2</v>
      </c>
      <c r="K76">
        <v>1</v>
      </c>
      <c r="L76" s="7" t="s">
        <v>438</v>
      </c>
      <c r="M76" s="8">
        <v>2</v>
      </c>
      <c r="N76" s="7" t="s">
        <v>433</v>
      </c>
      <c r="O76" s="7">
        <v>1</v>
      </c>
      <c r="P76" s="5"/>
      <c r="Q76" s="4"/>
      <c r="R76" s="4"/>
      <c r="S76" s="4"/>
      <c r="T76" s="26">
        <f>0.113940497018053*(0.88)</f>
        <v>0.10026763737588665</v>
      </c>
    </row>
    <row r="77" spans="1:20">
      <c r="A77" s="67" t="s">
        <v>631</v>
      </c>
      <c r="B77" s="64" t="s">
        <v>170</v>
      </c>
      <c r="C77" s="64" t="s">
        <v>170</v>
      </c>
      <c r="D77" s="64" t="s">
        <v>0</v>
      </c>
      <c r="E77" s="64" t="s">
        <v>748</v>
      </c>
      <c r="F77" s="64">
        <v>103</v>
      </c>
      <c r="G77" s="66">
        <v>1.2581054540850005</v>
      </c>
      <c r="H77" s="72">
        <v>269070.75219999999</v>
      </c>
      <c r="I77" s="1">
        <v>2</v>
      </c>
      <c r="J77" s="1">
        <v>2</v>
      </c>
      <c r="K77">
        <v>1</v>
      </c>
      <c r="L77" s="5" t="s">
        <v>438</v>
      </c>
      <c r="M77" s="6">
        <v>2</v>
      </c>
      <c r="N77" s="5" t="s">
        <v>443</v>
      </c>
      <c r="O77" s="64">
        <v>1</v>
      </c>
      <c r="P77" s="64" t="s">
        <v>816</v>
      </c>
      <c r="Q77" s="67">
        <v>0.57999999999999996</v>
      </c>
      <c r="R77" s="67">
        <v>0.18</v>
      </c>
      <c r="S77" s="67">
        <v>1.9</v>
      </c>
      <c r="T77" s="69">
        <f>0.6*(0.88)</f>
        <v>0.52800000000000002</v>
      </c>
    </row>
    <row r="78" spans="1:20" ht="32">
      <c r="A78" t="s">
        <v>679</v>
      </c>
      <c r="B78" s="1" t="s">
        <v>362</v>
      </c>
      <c r="C78" s="1" t="s">
        <v>53</v>
      </c>
      <c r="D78" s="1" t="s">
        <v>1</v>
      </c>
      <c r="E78"/>
      <c r="F78" s="1"/>
      <c r="G78" s="28">
        <v>8.7369002659035608</v>
      </c>
      <c r="I78" s="1">
        <v>1</v>
      </c>
      <c r="J78" s="1">
        <v>2</v>
      </c>
      <c r="L78" s="5" t="s">
        <v>513</v>
      </c>
      <c r="M78" s="6">
        <v>14</v>
      </c>
      <c r="N78" s="5" t="s">
        <v>451</v>
      </c>
      <c r="P78" s="1"/>
    </row>
    <row r="79" spans="1:20" ht="32">
      <c r="A79" s="4" t="s">
        <v>569</v>
      </c>
      <c r="B79" s="5" t="s">
        <v>400</v>
      </c>
      <c r="C79" s="5" t="s">
        <v>123</v>
      </c>
      <c r="D79" s="5" t="s">
        <v>0</v>
      </c>
      <c r="E79" s="5" t="s">
        <v>762</v>
      </c>
      <c r="F79" s="16">
        <v>103</v>
      </c>
      <c r="G79" s="29">
        <v>3.0879244149103471</v>
      </c>
      <c r="H79" s="31">
        <v>6128599.1980868988</v>
      </c>
      <c r="I79" s="1">
        <v>3</v>
      </c>
      <c r="J79" s="1">
        <v>2</v>
      </c>
      <c r="K79">
        <v>1</v>
      </c>
      <c r="L79" s="7" t="s">
        <v>438</v>
      </c>
      <c r="M79" s="8">
        <v>2</v>
      </c>
      <c r="N79" s="7" t="s">
        <v>433</v>
      </c>
      <c r="O79" s="7">
        <v>1</v>
      </c>
      <c r="P79" s="36" t="s">
        <v>770</v>
      </c>
      <c r="Q79" s="4">
        <v>0.85</v>
      </c>
      <c r="R79" s="4">
        <v>0.62</v>
      </c>
      <c r="S79" s="4">
        <v>1.18</v>
      </c>
      <c r="T79" s="26">
        <f>0.574396235521158*(0.88)</f>
        <v>0.50546868725861904</v>
      </c>
    </row>
    <row r="80" spans="1:20" ht="48">
      <c r="A80" t="s">
        <v>724</v>
      </c>
      <c r="B80" s="1" t="s">
        <v>392</v>
      </c>
      <c r="C80" s="1" t="s">
        <v>178</v>
      </c>
      <c r="D80" s="1" t="s">
        <v>1</v>
      </c>
      <c r="E80"/>
      <c r="F80" s="1">
        <v>119</v>
      </c>
      <c r="G80" s="28">
        <v>4.3740045081721641</v>
      </c>
      <c r="I80" s="1">
        <v>2</v>
      </c>
      <c r="J80" s="1">
        <v>3</v>
      </c>
      <c r="K80">
        <v>1</v>
      </c>
      <c r="L80" s="7" t="s">
        <v>549</v>
      </c>
      <c r="M80" s="8">
        <v>15</v>
      </c>
      <c r="N80" s="5" t="s">
        <v>443</v>
      </c>
      <c r="P80" s="1"/>
    </row>
    <row r="81" spans="1:20" ht="64">
      <c r="A81" t="s">
        <v>548</v>
      </c>
      <c r="B81" s="1" t="s">
        <v>393</v>
      </c>
      <c r="C81" s="1" t="s">
        <v>224</v>
      </c>
      <c r="D81" s="1" t="s">
        <v>1</v>
      </c>
      <c r="E81"/>
      <c r="F81" s="1"/>
      <c r="G81" s="28">
        <v>39.804818144216824</v>
      </c>
      <c r="I81" s="1">
        <v>3</v>
      </c>
      <c r="J81" s="1">
        <v>3</v>
      </c>
      <c r="L81" s="5" t="s">
        <v>549</v>
      </c>
      <c r="M81" s="6">
        <v>15</v>
      </c>
      <c r="N81" s="5" t="s">
        <v>443</v>
      </c>
      <c r="P81" s="1" t="s">
        <v>783</v>
      </c>
      <c r="Q81">
        <v>0.51</v>
      </c>
    </row>
    <row r="82" spans="1:20" ht="64">
      <c r="A82" t="s">
        <v>677</v>
      </c>
      <c r="B82" s="1" t="s">
        <v>346</v>
      </c>
      <c r="C82" s="1" t="s">
        <v>226</v>
      </c>
      <c r="D82" s="1" t="s">
        <v>1</v>
      </c>
      <c r="E82"/>
      <c r="F82" s="1">
        <v>1</v>
      </c>
      <c r="G82" s="28">
        <v>556.00268914420349</v>
      </c>
      <c r="I82" s="1">
        <v>4</v>
      </c>
      <c r="J82" s="1">
        <v>3</v>
      </c>
      <c r="L82" s="5" t="s">
        <v>549</v>
      </c>
      <c r="M82" s="6">
        <v>15</v>
      </c>
      <c r="N82" s="5" t="s">
        <v>443</v>
      </c>
      <c r="P82" s="1"/>
    </row>
    <row r="83" spans="1:20" ht="32">
      <c r="A83" s="18" t="s">
        <v>581</v>
      </c>
      <c r="B83" s="17" t="s">
        <v>68</v>
      </c>
      <c r="C83" s="17" t="s">
        <v>68</v>
      </c>
      <c r="D83" s="5" t="s">
        <v>1</v>
      </c>
      <c r="E83" s="17" t="s">
        <v>87</v>
      </c>
      <c r="F83" s="16">
        <v>112</v>
      </c>
      <c r="G83" s="29">
        <v>1.2581054540850005</v>
      </c>
      <c r="H83" s="11">
        <v>496344.10599999991</v>
      </c>
      <c r="I83" s="1">
        <v>5</v>
      </c>
      <c r="J83" s="1">
        <v>3</v>
      </c>
      <c r="K83">
        <v>1</v>
      </c>
      <c r="L83" s="5" t="s">
        <v>461</v>
      </c>
      <c r="M83" s="6">
        <v>1</v>
      </c>
      <c r="N83" s="5" t="s">
        <v>433</v>
      </c>
      <c r="O83" s="4">
        <v>1</v>
      </c>
      <c r="P83" s="36" t="s">
        <v>770</v>
      </c>
      <c r="Q83" s="4">
        <v>0.3</v>
      </c>
      <c r="R83" s="4">
        <v>0.1</v>
      </c>
      <c r="S83" s="4">
        <v>0.4</v>
      </c>
      <c r="T83" s="26">
        <f>0.1*(0.88)</f>
        <v>8.8000000000000009E-2</v>
      </c>
    </row>
    <row r="84" spans="1:20" ht="48">
      <c r="A84" t="s">
        <v>445</v>
      </c>
      <c r="B84" s="1" t="s">
        <v>413</v>
      </c>
      <c r="C84" s="1" t="s">
        <v>236</v>
      </c>
      <c r="D84" s="1" t="s">
        <v>1</v>
      </c>
      <c r="E84"/>
      <c r="F84" s="1"/>
      <c r="G84" s="28">
        <v>56.27</v>
      </c>
      <c r="I84" s="1">
        <v>5</v>
      </c>
      <c r="J84" s="1">
        <v>2</v>
      </c>
      <c r="L84" s="5" t="s">
        <v>551</v>
      </c>
      <c r="M84" s="6">
        <v>16</v>
      </c>
      <c r="N84" s="5" t="s">
        <v>433</v>
      </c>
      <c r="P84" s="1"/>
    </row>
    <row r="85" spans="1:20" ht="32">
      <c r="A85" s="39" t="s">
        <v>515</v>
      </c>
      <c r="B85" s="40" t="s">
        <v>408</v>
      </c>
      <c r="C85" s="40" t="s">
        <v>213</v>
      </c>
      <c r="D85" s="41" t="s">
        <v>31</v>
      </c>
      <c r="E85" s="39" t="s">
        <v>86</v>
      </c>
      <c r="F85" s="42">
        <v>115</v>
      </c>
      <c r="G85" s="43">
        <v>21.299447386134773</v>
      </c>
      <c r="H85" s="49">
        <v>1945022.46</v>
      </c>
      <c r="I85" s="1">
        <v>4</v>
      </c>
      <c r="J85" s="1">
        <v>3</v>
      </c>
      <c r="K85">
        <v>1</v>
      </c>
      <c r="L85" s="5" t="s">
        <v>460</v>
      </c>
      <c r="M85" s="6">
        <v>13</v>
      </c>
      <c r="N85" s="5" t="s">
        <v>451</v>
      </c>
      <c r="O85" s="44">
        <v>1</v>
      </c>
      <c r="P85" s="40" t="s">
        <v>801</v>
      </c>
      <c r="Q85" s="44">
        <v>0.51</v>
      </c>
      <c r="R85" s="44">
        <v>0.32</v>
      </c>
      <c r="S85" s="44">
        <v>0.82</v>
      </c>
      <c r="T85" s="48">
        <f>0.212487306783715*(0.88)</f>
        <v>0.1869888299696692</v>
      </c>
    </row>
    <row r="86" spans="1:20" ht="160">
      <c r="A86" s="4" t="s">
        <v>527</v>
      </c>
      <c r="B86" s="5" t="s">
        <v>409</v>
      </c>
      <c r="C86" s="5" t="s">
        <v>219</v>
      </c>
      <c r="D86" s="5" t="s">
        <v>1</v>
      </c>
      <c r="E86" s="20" t="s">
        <v>831</v>
      </c>
      <c r="F86" s="16">
        <v>135</v>
      </c>
      <c r="G86" s="29">
        <v>2.3590879269526175</v>
      </c>
      <c r="H86" s="31">
        <v>4766712.4525926653</v>
      </c>
      <c r="I86" s="1">
        <v>5</v>
      </c>
      <c r="J86" s="1">
        <v>2</v>
      </c>
      <c r="K86">
        <v>1</v>
      </c>
      <c r="L86" s="5" t="s">
        <v>477</v>
      </c>
      <c r="M86" s="6">
        <v>8</v>
      </c>
      <c r="N86" s="5" t="s">
        <v>433</v>
      </c>
      <c r="O86" s="5">
        <v>1</v>
      </c>
      <c r="P86" s="5"/>
      <c r="Q86" s="4"/>
      <c r="R86" s="4"/>
      <c r="S86" s="4"/>
      <c r="T86" s="26">
        <f>0.0464310018184675*(0.88)</f>
        <v>4.0859281600251401E-2</v>
      </c>
    </row>
    <row r="87" spans="1:20" ht="32">
      <c r="A87" t="s">
        <v>466</v>
      </c>
      <c r="B87" s="1" t="s">
        <v>284</v>
      </c>
      <c r="C87" s="1" t="s">
        <v>71</v>
      </c>
      <c r="D87" s="1" t="s">
        <v>1</v>
      </c>
      <c r="E87"/>
      <c r="F87" s="1"/>
      <c r="G87" s="28">
        <v>93.432191942566149</v>
      </c>
      <c r="I87" s="1">
        <v>5</v>
      </c>
      <c r="J87" s="1">
        <v>1</v>
      </c>
      <c r="L87" s="5" t="s">
        <v>447</v>
      </c>
      <c r="M87" s="6">
        <v>18</v>
      </c>
      <c r="N87" s="5" t="s">
        <v>433</v>
      </c>
      <c r="P87" s="1" t="s">
        <v>784</v>
      </c>
      <c r="Q87">
        <v>0.28999999999999998</v>
      </c>
      <c r="R87">
        <v>0.16</v>
      </c>
      <c r="S87">
        <v>0.53</v>
      </c>
    </row>
    <row r="88" spans="1:20" ht="48">
      <c r="A88" s="18" t="s">
        <v>457</v>
      </c>
      <c r="B88" s="17" t="s">
        <v>367</v>
      </c>
      <c r="C88" s="17" t="s">
        <v>206</v>
      </c>
      <c r="D88" s="5" t="s">
        <v>31</v>
      </c>
      <c r="E88" s="20" t="s">
        <v>744</v>
      </c>
      <c r="F88" s="16">
        <v>147</v>
      </c>
      <c r="G88" s="29">
        <v>41.317494445608943</v>
      </c>
      <c r="H88" s="11">
        <v>6034225.1842440506</v>
      </c>
      <c r="I88" s="1">
        <v>6</v>
      </c>
      <c r="J88" s="1">
        <v>1</v>
      </c>
      <c r="K88">
        <v>1</v>
      </c>
      <c r="L88" s="5" t="s">
        <v>462</v>
      </c>
      <c r="M88" s="6" t="s">
        <v>458</v>
      </c>
      <c r="N88" s="5" t="s">
        <v>433</v>
      </c>
      <c r="O88" s="4">
        <v>1</v>
      </c>
      <c r="P88" s="36" t="s">
        <v>770</v>
      </c>
      <c r="Q88" s="4">
        <v>0.6</v>
      </c>
      <c r="R88" s="4">
        <v>0.48</v>
      </c>
      <c r="S88" s="4">
        <v>0.6</v>
      </c>
      <c r="T88" s="26">
        <f>0.837473159765508*(0.88)</f>
        <v>0.73697638059364701</v>
      </c>
    </row>
    <row r="89" spans="1:20">
      <c r="A89" t="s">
        <v>516</v>
      </c>
      <c r="B89" s="1" t="s">
        <v>227</v>
      </c>
      <c r="C89" s="1" t="s">
        <v>227</v>
      </c>
      <c r="D89" s="1" t="s">
        <v>1</v>
      </c>
      <c r="E89"/>
      <c r="F89" s="1"/>
      <c r="G89" s="28">
        <v>93.432191942566149</v>
      </c>
      <c r="I89" s="1">
        <v>5</v>
      </c>
      <c r="J89" s="1">
        <v>1</v>
      </c>
      <c r="L89" s="5" t="s">
        <v>447</v>
      </c>
      <c r="M89" s="6">
        <v>18</v>
      </c>
      <c r="N89" s="5" t="s">
        <v>433</v>
      </c>
      <c r="O89" s="14"/>
      <c r="P89" s="1"/>
    </row>
    <row r="90" spans="1:20" ht="48">
      <c r="A90" s="18" t="s">
        <v>591</v>
      </c>
      <c r="B90" s="17" t="s">
        <v>352</v>
      </c>
      <c r="C90" s="17" t="s">
        <v>122</v>
      </c>
      <c r="D90" s="5" t="s">
        <v>1</v>
      </c>
      <c r="E90" s="17" t="s">
        <v>749</v>
      </c>
      <c r="F90" s="16">
        <v>169</v>
      </c>
      <c r="G90" s="29">
        <v>4.2161034836993139</v>
      </c>
      <c r="H90" s="11">
        <v>4094748.4759134203</v>
      </c>
      <c r="I90" s="1">
        <v>3</v>
      </c>
      <c r="J90" s="1">
        <v>3</v>
      </c>
      <c r="K90">
        <v>1</v>
      </c>
      <c r="L90" s="5" t="s">
        <v>461</v>
      </c>
      <c r="M90" s="6">
        <v>1</v>
      </c>
      <c r="N90" s="5" t="s">
        <v>433</v>
      </c>
      <c r="O90" s="4">
        <v>1</v>
      </c>
      <c r="P90" s="36"/>
      <c r="Q90" s="4"/>
      <c r="R90" s="4"/>
      <c r="S90" s="4"/>
      <c r="T90" s="26">
        <f>0.110074364987547*(0.88)</f>
        <v>9.6865441189041362E-2</v>
      </c>
    </row>
    <row r="91" spans="1:20" ht="32">
      <c r="A91" s="18" t="s">
        <v>613</v>
      </c>
      <c r="B91" s="17" t="s">
        <v>282</v>
      </c>
      <c r="C91" s="17" t="s">
        <v>133</v>
      </c>
      <c r="D91" s="5" t="s">
        <v>116</v>
      </c>
      <c r="E91" s="17" t="s">
        <v>84</v>
      </c>
      <c r="F91" s="16">
        <v>172</v>
      </c>
      <c r="G91" s="29">
        <v>1.2581054540850005</v>
      </c>
      <c r="H91" s="31">
        <v>323432.13392940117</v>
      </c>
      <c r="I91" s="5">
        <v>4</v>
      </c>
      <c r="J91" s="5">
        <v>3</v>
      </c>
      <c r="K91" s="4">
        <v>1</v>
      </c>
      <c r="L91" s="5" t="s">
        <v>431</v>
      </c>
      <c r="M91" s="6">
        <v>11</v>
      </c>
      <c r="N91" s="5" t="s">
        <v>451</v>
      </c>
      <c r="O91" s="4">
        <v>1</v>
      </c>
      <c r="P91" s="17" t="s">
        <v>781</v>
      </c>
      <c r="Q91" s="4">
        <v>0.66</v>
      </c>
      <c r="R91" s="4">
        <v>0.48</v>
      </c>
      <c r="S91" s="4">
        <v>0.89</v>
      </c>
      <c r="T91" s="26">
        <f>0.1*(0.88)</f>
        <v>8.8000000000000009E-2</v>
      </c>
    </row>
    <row r="92" spans="1:20" ht="32">
      <c r="A92" s="4" t="s">
        <v>561</v>
      </c>
      <c r="B92" s="5" t="s">
        <v>23</v>
      </c>
      <c r="C92" s="5" t="s">
        <v>23</v>
      </c>
      <c r="D92" s="5" t="s">
        <v>1</v>
      </c>
      <c r="E92" s="5" t="s">
        <v>744</v>
      </c>
      <c r="F92" s="16">
        <v>184</v>
      </c>
      <c r="G92" s="29">
        <v>1.6623041356945802</v>
      </c>
      <c r="H92" s="31">
        <v>122367.23999999999</v>
      </c>
      <c r="I92" s="1">
        <v>2</v>
      </c>
      <c r="J92" s="1"/>
      <c r="K92">
        <v>1</v>
      </c>
      <c r="L92" s="5" t="s">
        <v>461</v>
      </c>
      <c r="M92" s="6">
        <v>1</v>
      </c>
      <c r="N92" s="5" t="s">
        <v>433</v>
      </c>
      <c r="O92" s="4">
        <v>1</v>
      </c>
      <c r="P92" s="36" t="s">
        <v>770</v>
      </c>
      <c r="Q92" s="4">
        <v>0.3</v>
      </c>
      <c r="R92" s="4">
        <v>0.09</v>
      </c>
      <c r="S92" s="4">
        <v>0.99</v>
      </c>
      <c r="T92" s="26">
        <f>0.231169320001883*(0.88)</f>
        <v>0.20342900160165706</v>
      </c>
    </row>
    <row r="93" spans="1:20" ht="32">
      <c r="A93" s="4" t="s">
        <v>608</v>
      </c>
      <c r="B93" s="5" t="s">
        <v>414</v>
      </c>
      <c r="C93" s="5" t="s">
        <v>120</v>
      </c>
      <c r="D93" s="5" t="s">
        <v>1</v>
      </c>
      <c r="E93" s="5" t="s">
        <v>821</v>
      </c>
      <c r="F93" s="5">
        <v>190</v>
      </c>
      <c r="G93" s="29">
        <v>9.5454913118905012</v>
      </c>
      <c r="H93" s="31">
        <v>46197.309756684408</v>
      </c>
      <c r="I93" s="1">
        <v>4</v>
      </c>
      <c r="J93" s="1">
        <v>1</v>
      </c>
      <c r="K93">
        <v>1</v>
      </c>
      <c r="L93" s="5" t="s">
        <v>461</v>
      </c>
      <c r="M93" s="6">
        <v>1</v>
      </c>
      <c r="N93" s="5" t="s">
        <v>433</v>
      </c>
      <c r="O93" s="5">
        <v>1</v>
      </c>
      <c r="P93" s="5" t="s">
        <v>816</v>
      </c>
      <c r="Q93" s="4">
        <v>0.31</v>
      </c>
      <c r="R93" s="4">
        <v>0.2</v>
      </c>
      <c r="S93" s="4">
        <v>0.49</v>
      </c>
      <c r="T93" s="26">
        <f>0.8*(0.88)</f>
        <v>0.70400000000000007</v>
      </c>
    </row>
    <row r="94" spans="1:20" ht="160">
      <c r="A94" s="18" t="s">
        <v>526</v>
      </c>
      <c r="B94" s="17" t="s">
        <v>403</v>
      </c>
      <c r="C94" s="17" t="s">
        <v>203</v>
      </c>
      <c r="D94" s="5" t="s">
        <v>31</v>
      </c>
      <c r="E94" s="20" t="s">
        <v>831</v>
      </c>
      <c r="F94" s="16">
        <v>194</v>
      </c>
      <c r="G94" s="29">
        <v>2.9164196641595717</v>
      </c>
      <c r="H94" s="11">
        <v>13582768.205586867</v>
      </c>
      <c r="I94" s="1">
        <v>3</v>
      </c>
      <c r="J94" s="1">
        <v>2</v>
      </c>
      <c r="K94">
        <v>1</v>
      </c>
      <c r="L94" s="5" t="s">
        <v>477</v>
      </c>
      <c r="M94" s="6">
        <v>8</v>
      </c>
      <c r="N94" s="5" t="s">
        <v>433</v>
      </c>
      <c r="O94" s="4">
        <v>1</v>
      </c>
      <c r="P94" s="20"/>
      <c r="Q94" s="4"/>
      <c r="R94" s="4"/>
      <c r="S94" s="4"/>
      <c r="T94" s="26">
        <f>0.263541039417507*(0.88)</f>
        <v>0.23191611468740617</v>
      </c>
    </row>
    <row r="95" spans="1:20" ht="48">
      <c r="A95" s="4" t="s">
        <v>685</v>
      </c>
      <c r="B95" s="5" t="s">
        <v>418</v>
      </c>
      <c r="C95" s="5" t="s">
        <v>221</v>
      </c>
      <c r="D95" s="5" t="s">
        <v>1</v>
      </c>
      <c r="E95" s="4" t="s">
        <v>30</v>
      </c>
      <c r="F95" s="16">
        <v>196</v>
      </c>
      <c r="G95" s="29">
        <v>2.1405767013748602</v>
      </c>
      <c r="H95" s="31">
        <v>52358.721532395539</v>
      </c>
      <c r="I95" s="1">
        <v>4</v>
      </c>
      <c r="J95" s="1">
        <v>1</v>
      </c>
      <c r="K95">
        <v>1</v>
      </c>
      <c r="L95" s="5" t="s">
        <v>477</v>
      </c>
      <c r="M95" s="6">
        <v>8</v>
      </c>
      <c r="N95" s="5" t="s">
        <v>433</v>
      </c>
      <c r="O95" s="5">
        <v>1</v>
      </c>
      <c r="P95" s="36" t="s">
        <v>770</v>
      </c>
      <c r="Q95" s="4">
        <v>0.15</v>
      </c>
      <c r="R95" s="4">
        <v>0.1</v>
      </c>
      <c r="S95" s="4">
        <v>0.2</v>
      </c>
      <c r="T95" s="26">
        <f>0.56856301137432*(0.88)</f>
        <v>0.50033545000940161</v>
      </c>
    </row>
    <row r="96" spans="1:20">
      <c r="A96" s="4" t="s">
        <v>579</v>
      </c>
      <c r="B96" s="5" t="s">
        <v>10</v>
      </c>
      <c r="C96" s="5" t="s">
        <v>10</v>
      </c>
      <c r="D96" s="5" t="s">
        <v>1</v>
      </c>
      <c r="E96" s="4"/>
      <c r="F96" s="5">
        <v>226</v>
      </c>
      <c r="G96" s="29">
        <v>1.1496900605005875</v>
      </c>
      <c r="H96" s="11">
        <v>218914.48079999999</v>
      </c>
      <c r="I96" s="1">
        <v>5</v>
      </c>
      <c r="J96" s="1">
        <v>1</v>
      </c>
      <c r="K96">
        <v>1</v>
      </c>
      <c r="L96" s="5" t="s">
        <v>447</v>
      </c>
      <c r="M96" s="6">
        <v>18</v>
      </c>
      <c r="N96" s="5" t="s">
        <v>433</v>
      </c>
      <c r="O96" s="31">
        <v>1</v>
      </c>
      <c r="P96" s="5"/>
      <c r="Q96" s="4"/>
      <c r="R96" s="4"/>
      <c r="S96" s="4"/>
      <c r="T96" s="26">
        <f>0.924908816360775*(0.88)</f>
        <v>0.8139197583974821</v>
      </c>
    </row>
    <row r="97" spans="1:20" ht="32">
      <c r="A97" s="62" t="s">
        <v>489</v>
      </c>
      <c r="B97" s="63" t="s">
        <v>280</v>
      </c>
      <c r="C97" s="63" t="s">
        <v>118</v>
      </c>
      <c r="D97" s="64" t="s">
        <v>116</v>
      </c>
      <c r="E97" s="63" t="s">
        <v>94</v>
      </c>
      <c r="F97" s="65">
        <v>237</v>
      </c>
      <c r="G97" s="66">
        <v>5.9087526822720839</v>
      </c>
      <c r="H97" s="68">
        <v>489607.03736104234</v>
      </c>
      <c r="I97" s="1">
        <v>3</v>
      </c>
      <c r="J97" s="1">
        <v>3</v>
      </c>
      <c r="K97">
        <v>1</v>
      </c>
      <c r="L97" s="7" t="s">
        <v>461</v>
      </c>
      <c r="M97" s="8">
        <v>1</v>
      </c>
      <c r="N97" s="7" t="s">
        <v>433</v>
      </c>
      <c r="O97" s="67">
        <v>1</v>
      </c>
      <c r="P97" s="71" t="s">
        <v>770</v>
      </c>
      <c r="Q97" s="67">
        <v>0.6</v>
      </c>
      <c r="R97" s="67">
        <v>0.39</v>
      </c>
      <c r="S97" s="67">
        <v>0.93</v>
      </c>
      <c r="T97" s="69">
        <f>0.35153192524122*(0.88)</f>
        <v>0.30934809421227361</v>
      </c>
    </row>
    <row r="98" spans="1:20" ht="32">
      <c r="A98" t="s">
        <v>652</v>
      </c>
      <c r="B98" s="1" t="s">
        <v>290</v>
      </c>
      <c r="C98" s="1" t="s">
        <v>75</v>
      </c>
      <c r="D98" s="1" t="s">
        <v>1</v>
      </c>
      <c r="E98"/>
      <c r="F98" s="1">
        <v>47.24</v>
      </c>
      <c r="G98" s="28">
        <v>93.432191942566149</v>
      </c>
      <c r="I98" s="1">
        <v>4</v>
      </c>
      <c r="J98" s="1">
        <v>1</v>
      </c>
      <c r="L98" s="5" t="s">
        <v>447</v>
      </c>
      <c r="M98" s="6">
        <v>18</v>
      </c>
      <c r="N98" s="5" t="s">
        <v>443</v>
      </c>
      <c r="P98" s="1" t="s">
        <v>787</v>
      </c>
      <c r="Q98">
        <v>0.15</v>
      </c>
      <c r="R98">
        <v>0.04</v>
      </c>
      <c r="S98">
        <v>0.64</v>
      </c>
    </row>
    <row r="99" spans="1:20" ht="32">
      <c r="A99" s="62" t="s">
        <v>490</v>
      </c>
      <c r="B99" s="63" t="s">
        <v>357</v>
      </c>
      <c r="C99" s="63" t="s">
        <v>119</v>
      </c>
      <c r="D99" s="64" t="s">
        <v>0</v>
      </c>
      <c r="E99" s="63" t="s">
        <v>94</v>
      </c>
      <c r="F99" s="65">
        <v>237.02</v>
      </c>
      <c r="G99" s="66">
        <v>5.9087526822720839</v>
      </c>
      <c r="H99" s="68">
        <v>604453.13254449656</v>
      </c>
      <c r="I99" s="1">
        <v>2</v>
      </c>
      <c r="J99" s="1">
        <v>2</v>
      </c>
      <c r="K99">
        <v>1</v>
      </c>
      <c r="L99" s="5" t="s">
        <v>461</v>
      </c>
      <c r="M99" s="6">
        <v>1</v>
      </c>
      <c r="N99" s="5" t="s">
        <v>433</v>
      </c>
      <c r="O99" s="67">
        <v>1</v>
      </c>
      <c r="P99" s="64" t="s">
        <v>770</v>
      </c>
      <c r="Q99" s="67">
        <v>0.8</v>
      </c>
      <c r="R99" s="67">
        <v>0.75</v>
      </c>
      <c r="S99" s="67">
        <v>0.85</v>
      </c>
      <c r="T99" s="69">
        <f>0.35153192524122*(0.88)</f>
        <v>0.30934809421227361</v>
      </c>
    </row>
    <row r="100" spans="1:20" ht="48">
      <c r="A100" s="62" t="s">
        <v>576</v>
      </c>
      <c r="B100" s="63" t="s">
        <v>318</v>
      </c>
      <c r="C100" s="63" t="s">
        <v>198</v>
      </c>
      <c r="D100" s="64" t="s">
        <v>0</v>
      </c>
      <c r="E100" s="63" t="s">
        <v>832</v>
      </c>
      <c r="F100" s="65">
        <v>285</v>
      </c>
      <c r="G100" s="66">
        <v>3.5904528499278272</v>
      </c>
      <c r="H100" s="68">
        <v>1429709.6968120886</v>
      </c>
      <c r="I100" s="1">
        <v>2</v>
      </c>
      <c r="J100" s="1">
        <v>1</v>
      </c>
      <c r="K100">
        <v>1</v>
      </c>
      <c r="L100" s="7" t="s">
        <v>577</v>
      </c>
      <c r="M100" s="8" t="s">
        <v>578</v>
      </c>
      <c r="N100" s="7" t="s">
        <v>451</v>
      </c>
      <c r="O100" s="67">
        <v>1</v>
      </c>
      <c r="P100" s="64" t="s">
        <v>770</v>
      </c>
      <c r="Q100" s="67">
        <v>0.81</v>
      </c>
      <c r="R100" s="67">
        <v>0.51</v>
      </c>
      <c r="S100" s="67">
        <v>1.3</v>
      </c>
      <c r="T100" s="69">
        <f>0.8*(0.88)</f>
        <v>0.70400000000000007</v>
      </c>
    </row>
    <row r="101" spans="1:20" ht="32">
      <c r="A101" t="s">
        <v>456</v>
      </c>
      <c r="B101" s="1" t="s">
        <v>182</v>
      </c>
      <c r="C101" s="1" t="s">
        <v>182</v>
      </c>
      <c r="D101" s="1" t="s">
        <v>1</v>
      </c>
      <c r="E101"/>
      <c r="F101" s="1">
        <v>60</v>
      </c>
      <c r="G101" s="28">
        <v>161.22124895711178</v>
      </c>
      <c r="I101" s="1">
        <v>4</v>
      </c>
      <c r="J101" s="1">
        <v>1</v>
      </c>
      <c r="L101" s="5" t="s">
        <v>447</v>
      </c>
      <c r="M101" s="6">
        <v>18</v>
      </c>
      <c r="N101" s="5" t="s">
        <v>443</v>
      </c>
      <c r="P101" s="1" t="s">
        <v>788</v>
      </c>
      <c r="Q101">
        <v>1.55</v>
      </c>
      <c r="R101">
        <v>1.3</v>
      </c>
      <c r="S101">
        <v>1.85</v>
      </c>
    </row>
    <row r="102" spans="1:20">
      <c r="A102" t="s">
        <v>694</v>
      </c>
      <c r="B102" s="1" t="s">
        <v>160</v>
      </c>
      <c r="C102" s="1" t="s">
        <v>160</v>
      </c>
      <c r="D102" s="1" t="s">
        <v>1</v>
      </c>
      <c r="E102"/>
      <c r="F102" s="1"/>
      <c r="G102" s="28">
        <v>161.22124895711178</v>
      </c>
      <c r="I102" s="1">
        <v>4</v>
      </c>
      <c r="J102" s="1">
        <v>1</v>
      </c>
      <c r="K102">
        <v>1</v>
      </c>
      <c r="L102" s="5" t="s">
        <v>447</v>
      </c>
      <c r="M102" s="6">
        <v>18</v>
      </c>
      <c r="N102" s="5" t="s">
        <v>443</v>
      </c>
      <c r="P102" s="1"/>
    </row>
    <row r="103" spans="1:20">
      <c r="A103" s="4" t="s">
        <v>664</v>
      </c>
      <c r="B103" s="5" t="s">
        <v>169</v>
      </c>
      <c r="C103" s="5" t="s">
        <v>169</v>
      </c>
      <c r="D103" s="5" t="s">
        <v>0</v>
      </c>
      <c r="E103" s="5"/>
      <c r="F103" s="16">
        <v>301</v>
      </c>
      <c r="G103" s="29">
        <v>1.2581054540850005</v>
      </c>
      <c r="H103" s="30">
        <v>263846.07740000001</v>
      </c>
      <c r="I103" s="1">
        <v>2</v>
      </c>
      <c r="J103" s="1">
        <v>2</v>
      </c>
      <c r="K103">
        <v>1</v>
      </c>
      <c r="L103" s="5" t="s">
        <v>438</v>
      </c>
      <c r="M103" s="6">
        <v>2</v>
      </c>
      <c r="N103" s="5" t="s">
        <v>443</v>
      </c>
      <c r="O103" s="5">
        <v>1</v>
      </c>
      <c r="P103" s="5" t="s">
        <v>770</v>
      </c>
      <c r="Q103" s="4">
        <v>0.57299999999999995</v>
      </c>
      <c r="R103" s="4">
        <v>0.36099999999999999</v>
      </c>
      <c r="S103" s="4">
        <v>0.89600000000000002</v>
      </c>
      <c r="T103" s="26">
        <f>0.6*(0.88)</f>
        <v>0.52800000000000002</v>
      </c>
    </row>
    <row r="104" spans="1:20" ht="96">
      <c r="A104" s="18" t="s">
        <v>687</v>
      </c>
      <c r="B104" s="17" t="s">
        <v>293</v>
      </c>
      <c r="C104" s="17" t="s">
        <v>147</v>
      </c>
      <c r="D104" s="5" t="s">
        <v>29</v>
      </c>
      <c r="E104" s="17" t="s">
        <v>742</v>
      </c>
      <c r="F104" s="16">
        <v>310</v>
      </c>
      <c r="G104" s="29">
        <v>1864.30255997415</v>
      </c>
      <c r="H104" s="31">
        <v>108821.34</v>
      </c>
      <c r="I104" s="1">
        <v>4</v>
      </c>
      <c r="J104" s="1">
        <v>3</v>
      </c>
      <c r="L104" s="5" t="s">
        <v>500</v>
      </c>
      <c r="M104" s="6">
        <v>7</v>
      </c>
      <c r="N104" s="5" t="s">
        <v>451</v>
      </c>
      <c r="O104" s="4">
        <v>1</v>
      </c>
      <c r="P104" s="17" t="s">
        <v>779</v>
      </c>
      <c r="Q104" s="4">
        <v>4.5999999999999996</v>
      </c>
      <c r="R104" s="4">
        <v>2.7</v>
      </c>
      <c r="S104" s="4">
        <v>8</v>
      </c>
      <c r="T104" s="26">
        <v>0.4</v>
      </c>
    </row>
    <row r="105" spans="1:20" ht="32">
      <c r="A105" s="18" t="s">
        <v>453</v>
      </c>
      <c r="B105" s="17" t="s">
        <v>283</v>
      </c>
      <c r="C105" s="17" t="s">
        <v>110</v>
      </c>
      <c r="D105" s="5" t="s">
        <v>1</v>
      </c>
      <c r="E105" s="17" t="s">
        <v>744</v>
      </c>
      <c r="F105" s="16">
        <v>322.2</v>
      </c>
      <c r="G105" s="29">
        <v>13.83565515195883</v>
      </c>
      <c r="H105" s="11">
        <v>129134.16937606905</v>
      </c>
      <c r="I105" s="1">
        <v>6</v>
      </c>
      <c r="J105" s="1">
        <v>1</v>
      </c>
      <c r="K105">
        <v>1</v>
      </c>
      <c r="L105" s="5" t="s">
        <v>447</v>
      </c>
      <c r="M105" s="6">
        <v>18</v>
      </c>
      <c r="N105" s="5" t="s">
        <v>433</v>
      </c>
      <c r="O105" s="4">
        <v>1</v>
      </c>
      <c r="P105" s="36" t="s">
        <v>770</v>
      </c>
      <c r="Q105" s="4">
        <v>0.52</v>
      </c>
      <c r="R105" s="4">
        <v>0.39</v>
      </c>
      <c r="S105" s="4">
        <v>0.68</v>
      </c>
      <c r="T105" s="26">
        <f>0.180822660583731*(0.88)</f>
        <v>0.15912394131368329</v>
      </c>
    </row>
    <row r="106" spans="1:20" ht="32">
      <c r="A106" s="4" t="s">
        <v>547</v>
      </c>
      <c r="B106" s="5" t="s">
        <v>285</v>
      </c>
      <c r="C106" s="5" t="s">
        <v>14</v>
      </c>
      <c r="D106" s="5" t="s">
        <v>1</v>
      </c>
      <c r="E106" s="4" t="s">
        <v>830</v>
      </c>
      <c r="F106" s="5">
        <v>322.2</v>
      </c>
      <c r="G106" s="29">
        <v>5.3044428632986875</v>
      </c>
      <c r="H106" s="31">
        <v>700621.17169843998</v>
      </c>
      <c r="I106" s="1">
        <v>5</v>
      </c>
      <c r="J106" s="1">
        <v>1</v>
      </c>
      <c r="K106">
        <v>1</v>
      </c>
      <c r="L106" s="5" t="s">
        <v>447</v>
      </c>
      <c r="M106" s="6">
        <v>18</v>
      </c>
      <c r="N106" s="5" t="s">
        <v>433</v>
      </c>
      <c r="O106" s="31">
        <v>1</v>
      </c>
      <c r="P106" s="5"/>
      <c r="Q106" s="4"/>
      <c r="R106" s="4"/>
      <c r="S106" s="4"/>
      <c r="T106" s="26">
        <f>0.1*(0.88)</f>
        <v>8.8000000000000009E-2</v>
      </c>
    </row>
    <row r="107" spans="1:20" ht="32">
      <c r="A107" t="s">
        <v>691</v>
      </c>
      <c r="B107" s="1" t="s">
        <v>382</v>
      </c>
      <c r="C107" s="1" t="s">
        <v>63</v>
      </c>
      <c r="D107" s="1" t="s">
        <v>1</v>
      </c>
      <c r="E107"/>
      <c r="F107" s="1">
        <v>7163</v>
      </c>
      <c r="G107" s="28">
        <v>5.2529935346168033</v>
      </c>
      <c r="I107" s="1">
        <v>1</v>
      </c>
      <c r="J107" s="1">
        <v>1</v>
      </c>
      <c r="L107" s="5" t="s">
        <v>436</v>
      </c>
      <c r="M107" s="6">
        <v>19</v>
      </c>
      <c r="N107" s="5" t="s">
        <v>451</v>
      </c>
      <c r="P107" s="1"/>
    </row>
    <row r="108" spans="1:20" ht="32">
      <c r="A108" t="s">
        <v>485</v>
      </c>
      <c r="B108" s="1" t="s">
        <v>384</v>
      </c>
      <c r="C108" s="1" t="s">
        <v>62</v>
      </c>
      <c r="D108" s="1" t="s">
        <v>1</v>
      </c>
      <c r="E108"/>
      <c r="F108" s="1"/>
      <c r="G108" s="28">
        <v>5.2529935346168033</v>
      </c>
      <c r="I108" s="1">
        <v>1</v>
      </c>
      <c r="J108" s="1">
        <v>1</v>
      </c>
      <c r="L108" s="5" t="s">
        <v>436</v>
      </c>
      <c r="M108" s="6">
        <v>19</v>
      </c>
      <c r="N108" s="5" t="s">
        <v>451</v>
      </c>
      <c r="P108" s="1"/>
    </row>
    <row r="109" spans="1:20">
      <c r="A109" t="s">
        <v>435</v>
      </c>
      <c r="B109" s="1" t="s">
        <v>388</v>
      </c>
      <c r="C109" s="1" t="s">
        <v>60</v>
      </c>
      <c r="D109" s="1" t="s">
        <v>1</v>
      </c>
      <c r="E109"/>
      <c r="F109" s="1"/>
      <c r="G109" s="28">
        <v>5.2529935346168033</v>
      </c>
      <c r="I109" s="1">
        <v>2</v>
      </c>
      <c r="J109" s="1">
        <v>1</v>
      </c>
      <c r="L109" s="7" t="s">
        <v>436</v>
      </c>
      <c r="M109" s="8">
        <v>19</v>
      </c>
      <c r="N109" s="7" t="s">
        <v>433</v>
      </c>
      <c r="P109" s="1"/>
    </row>
    <row r="110" spans="1:20" ht="32">
      <c r="A110" t="s">
        <v>525</v>
      </c>
      <c r="B110" s="1" t="s">
        <v>387</v>
      </c>
      <c r="C110" s="1" t="s">
        <v>61</v>
      </c>
      <c r="D110" s="1" t="s">
        <v>1</v>
      </c>
      <c r="E110"/>
      <c r="F110" s="1"/>
      <c r="G110" s="28">
        <v>5.2529935346168033</v>
      </c>
      <c r="I110" s="1">
        <v>1</v>
      </c>
      <c r="J110" s="1">
        <v>1</v>
      </c>
      <c r="L110" s="5" t="s">
        <v>436</v>
      </c>
      <c r="M110" s="6">
        <v>19</v>
      </c>
      <c r="N110" s="5" t="s">
        <v>451</v>
      </c>
      <c r="P110" s="1"/>
    </row>
    <row r="111" spans="1:20" ht="64">
      <c r="A111" t="s">
        <v>557</v>
      </c>
      <c r="B111" s="1" t="s">
        <v>355</v>
      </c>
      <c r="C111" s="1" t="s">
        <v>286</v>
      </c>
      <c r="D111" s="1" t="s">
        <v>1</v>
      </c>
      <c r="E111"/>
      <c r="F111" s="1">
        <v>1</v>
      </c>
      <c r="G111" s="28">
        <v>5.2529935346168033</v>
      </c>
      <c r="I111" s="1">
        <v>2</v>
      </c>
      <c r="J111" s="1">
        <v>1</v>
      </c>
      <c r="L111" s="5" t="s">
        <v>436</v>
      </c>
      <c r="M111" s="6">
        <v>19</v>
      </c>
      <c r="N111" s="5" t="s">
        <v>433</v>
      </c>
      <c r="P111" s="1"/>
    </row>
    <row r="112" spans="1:20">
      <c r="A112" t="s">
        <v>614</v>
      </c>
      <c r="B112" s="1" t="s">
        <v>351</v>
      </c>
      <c r="C112" s="1" t="s">
        <v>59</v>
      </c>
      <c r="D112" s="1" t="s">
        <v>1</v>
      </c>
      <c r="E112"/>
      <c r="F112" s="1"/>
      <c r="G112" s="28">
        <v>5.2529935346168033</v>
      </c>
      <c r="I112" s="1">
        <v>2</v>
      </c>
      <c r="J112" s="1">
        <v>1</v>
      </c>
      <c r="L112" s="5" t="s">
        <v>436</v>
      </c>
      <c r="M112" s="6">
        <v>19</v>
      </c>
      <c r="N112" s="5" t="s">
        <v>433</v>
      </c>
      <c r="P112" s="1"/>
    </row>
    <row r="113" spans="1:20" ht="48">
      <c r="A113" t="s">
        <v>636</v>
      </c>
      <c r="B113" s="1" t="s">
        <v>350</v>
      </c>
      <c r="C113" s="1" t="s">
        <v>165</v>
      </c>
      <c r="D113" s="1" t="s">
        <v>1</v>
      </c>
      <c r="E113"/>
      <c r="F113" s="1"/>
      <c r="G113" s="28">
        <v>64.358947526679671</v>
      </c>
      <c r="I113" s="1"/>
      <c r="J113" s="1"/>
      <c r="K113">
        <v>1</v>
      </c>
      <c r="L113" s="5" t="s">
        <v>523</v>
      </c>
      <c r="M113" s="6">
        <v>20</v>
      </c>
      <c r="N113" s="5" t="s">
        <v>433</v>
      </c>
      <c r="P113" s="1"/>
    </row>
    <row r="114" spans="1:20">
      <c r="A114" t="s">
        <v>528</v>
      </c>
      <c r="B114" s="1" t="s">
        <v>45</v>
      </c>
      <c r="C114" s="1" t="s">
        <v>45</v>
      </c>
      <c r="D114" s="1" t="s">
        <v>1</v>
      </c>
      <c r="E114"/>
      <c r="F114" s="1"/>
      <c r="G114" s="28">
        <v>0.52436208073605961</v>
      </c>
      <c r="I114" s="1"/>
      <c r="J114" s="1"/>
      <c r="L114" s="5" t="s">
        <v>529</v>
      </c>
      <c r="M114" s="6">
        <v>21</v>
      </c>
      <c r="N114" s="5" t="s">
        <v>443</v>
      </c>
      <c r="P114" s="1"/>
    </row>
    <row r="115" spans="1:20" ht="48">
      <c r="A115" s="18" t="s">
        <v>693</v>
      </c>
      <c r="B115" s="17" t="s">
        <v>73</v>
      </c>
      <c r="C115" s="17" t="s">
        <v>73</v>
      </c>
      <c r="D115" s="5" t="s">
        <v>1</v>
      </c>
      <c r="E115" s="17" t="s">
        <v>90</v>
      </c>
      <c r="F115" s="16">
        <v>322.2</v>
      </c>
      <c r="G115" s="29">
        <v>0</v>
      </c>
      <c r="H115" s="11">
        <v>56922.359999999993</v>
      </c>
      <c r="I115" s="1">
        <v>6</v>
      </c>
      <c r="J115" s="1">
        <v>1</v>
      </c>
      <c r="K115">
        <v>1</v>
      </c>
      <c r="L115" s="5" t="s">
        <v>462</v>
      </c>
      <c r="M115" s="6" t="s">
        <v>458</v>
      </c>
      <c r="N115" s="5" t="s">
        <v>433</v>
      </c>
      <c r="O115" s="4">
        <v>1</v>
      </c>
      <c r="P115" s="17" t="s">
        <v>816</v>
      </c>
      <c r="Q115" s="4">
        <v>0.55000000000000004</v>
      </c>
      <c r="R115" s="4">
        <v>0.28000000000000003</v>
      </c>
      <c r="S115" s="4">
        <v>1.37</v>
      </c>
      <c r="T115" s="26">
        <v>0.4</v>
      </c>
    </row>
    <row r="116" spans="1:20" ht="32">
      <c r="A116" s="4" t="s">
        <v>605</v>
      </c>
      <c r="B116" s="5" t="s">
        <v>252</v>
      </c>
      <c r="C116" s="5" t="s">
        <v>190</v>
      </c>
      <c r="D116" s="5" t="s">
        <v>32</v>
      </c>
      <c r="E116" s="4" t="s">
        <v>765</v>
      </c>
      <c r="F116" s="16">
        <v>326</v>
      </c>
      <c r="G116" s="9">
        <v>243.83598021710617</v>
      </c>
      <c r="H116" s="31">
        <v>446921.99438356189</v>
      </c>
      <c r="I116" s="1"/>
      <c r="J116" s="1"/>
      <c r="L116" s="5" t="s">
        <v>606</v>
      </c>
      <c r="M116" s="6">
        <v>17</v>
      </c>
      <c r="N116" s="5" t="s">
        <v>443</v>
      </c>
      <c r="O116" s="4">
        <v>1</v>
      </c>
      <c r="P116" s="5" t="s">
        <v>816</v>
      </c>
      <c r="Q116" s="4">
        <v>0.7</v>
      </c>
      <c r="R116" s="4">
        <v>0.57999999999999996</v>
      </c>
      <c r="S116" s="4">
        <v>0.85</v>
      </c>
      <c r="T116" s="26">
        <f>0.149551026241291*(0.88)</f>
        <v>0.13160490309233608</v>
      </c>
    </row>
    <row r="117" spans="1:20" ht="128">
      <c r="A117" s="18" t="s">
        <v>698</v>
      </c>
      <c r="B117" s="17" t="s">
        <v>398</v>
      </c>
      <c r="C117" s="17" t="s">
        <v>186</v>
      </c>
      <c r="D117" s="5" t="s">
        <v>32</v>
      </c>
      <c r="E117" s="17" t="s">
        <v>741</v>
      </c>
      <c r="F117" s="16">
        <v>330</v>
      </c>
      <c r="G117" s="29">
        <v>272.9580220327901</v>
      </c>
      <c r="H117" s="9">
        <v>50211.759999999995</v>
      </c>
      <c r="I117" s="1">
        <v>4</v>
      </c>
      <c r="J117" s="1">
        <v>3</v>
      </c>
      <c r="K117">
        <v>1</v>
      </c>
      <c r="L117" s="5" t="s">
        <v>500</v>
      </c>
      <c r="M117" s="6">
        <v>7</v>
      </c>
      <c r="N117" s="5" t="s">
        <v>443</v>
      </c>
      <c r="O117" s="4">
        <v>1</v>
      </c>
      <c r="Q117" s="4"/>
      <c r="R117" s="4"/>
      <c r="S117" s="4"/>
      <c r="T117" s="26">
        <v>0.4</v>
      </c>
    </row>
    <row r="118" spans="1:20" ht="64">
      <c r="A118" s="67" t="s">
        <v>554</v>
      </c>
      <c r="B118" s="64" t="s">
        <v>423</v>
      </c>
      <c r="C118" s="64" t="s">
        <v>131</v>
      </c>
      <c r="D118" s="64" t="s">
        <v>116</v>
      </c>
      <c r="E118" s="64" t="s">
        <v>763</v>
      </c>
      <c r="F118" s="65">
        <v>380</v>
      </c>
      <c r="G118" s="66">
        <v>1.2581054540850005</v>
      </c>
      <c r="H118" s="70">
        <v>323432.13392940117</v>
      </c>
      <c r="I118" s="1">
        <v>2</v>
      </c>
      <c r="J118" s="1">
        <v>1</v>
      </c>
      <c r="K118">
        <v>1</v>
      </c>
      <c r="L118" s="5" t="s">
        <v>431</v>
      </c>
      <c r="M118" s="6">
        <v>11</v>
      </c>
      <c r="N118" s="5" t="s">
        <v>451</v>
      </c>
      <c r="O118" s="64">
        <v>1</v>
      </c>
      <c r="P118" s="64" t="s">
        <v>798</v>
      </c>
      <c r="Q118" s="67">
        <v>0.6</v>
      </c>
      <c r="R118" s="67">
        <v>0.44</v>
      </c>
      <c r="S118" s="67">
        <v>0.81</v>
      </c>
      <c r="T118" s="69">
        <f>0.1*(0.88)</f>
        <v>8.8000000000000009E-2</v>
      </c>
    </row>
    <row r="119" spans="1:20" ht="32">
      <c r="A119" s="4" t="s">
        <v>732</v>
      </c>
      <c r="B119" s="5" t="s">
        <v>269</v>
      </c>
      <c r="C119" s="5" t="s">
        <v>43</v>
      </c>
      <c r="D119" s="5" t="s">
        <v>0</v>
      </c>
      <c r="E119" s="5" t="s">
        <v>765</v>
      </c>
      <c r="F119" s="16">
        <v>389</v>
      </c>
      <c r="G119" s="29">
        <v>243.83598021710617</v>
      </c>
      <c r="H119" s="31">
        <v>446921.99438356189</v>
      </c>
      <c r="I119" s="1">
        <v>2</v>
      </c>
      <c r="J119" s="1">
        <v>1</v>
      </c>
      <c r="L119" s="5" t="s">
        <v>606</v>
      </c>
      <c r="M119" s="6">
        <v>17</v>
      </c>
      <c r="N119" s="5" t="s">
        <v>443</v>
      </c>
      <c r="O119" s="4">
        <v>1</v>
      </c>
      <c r="P119" s="5" t="s">
        <v>817</v>
      </c>
      <c r="Q119" s="4">
        <v>0.67</v>
      </c>
      <c r="R119" s="4">
        <v>0.59199999999999997</v>
      </c>
      <c r="S119" s="4">
        <v>0.75700000000000001</v>
      </c>
      <c r="T119" s="26">
        <f>0.149551026241291*(0.88)</f>
        <v>0.13160490309233608</v>
      </c>
    </row>
    <row r="120" spans="1:20" ht="32">
      <c r="A120" s="18" t="s">
        <v>619</v>
      </c>
      <c r="B120" s="17" t="s">
        <v>404</v>
      </c>
      <c r="C120" s="17" t="s">
        <v>207</v>
      </c>
      <c r="D120" s="5" t="s">
        <v>31</v>
      </c>
      <c r="E120" s="17" t="s">
        <v>90</v>
      </c>
      <c r="F120" s="16">
        <v>402</v>
      </c>
      <c r="G120" s="29">
        <v>0.92177949382319446</v>
      </c>
      <c r="H120" s="11">
        <v>6069.7</v>
      </c>
      <c r="I120" s="1">
        <v>4</v>
      </c>
      <c r="J120" s="1">
        <v>1</v>
      </c>
      <c r="K120">
        <v>1</v>
      </c>
      <c r="L120" s="5" t="s">
        <v>461</v>
      </c>
      <c r="M120" s="6">
        <v>1</v>
      </c>
      <c r="N120" s="5" t="s">
        <v>433</v>
      </c>
      <c r="O120" s="4">
        <v>1</v>
      </c>
      <c r="Q120" s="4"/>
      <c r="R120" s="4"/>
      <c r="S120" s="4"/>
      <c r="T120" s="26">
        <f>0.1*(0.88)</f>
        <v>8.8000000000000009E-2</v>
      </c>
    </row>
    <row r="121" spans="1:20" ht="32">
      <c r="A121" s="18" t="s">
        <v>444</v>
      </c>
      <c r="B121" s="17" t="s">
        <v>297</v>
      </c>
      <c r="C121" s="17" t="s">
        <v>114</v>
      </c>
      <c r="D121" s="5" t="s">
        <v>0</v>
      </c>
      <c r="E121" s="5" t="s">
        <v>755</v>
      </c>
      <c r="F121" s="16">
        <v>411</v>
      </c>
      <c r="G121" s="29">
        <v>17.337117525509715</v>
      </c>
      <c r="H121" s="12">
        <v>33655274.526818052</v>
      </c>
      <c r="I121" s="1"/>
      <c r="J121" s="1"/>
      <c r="L121" s="5" t="s">
        <v>461</v>
      </c>
      <c r="M121" s="6">
        <v>1</v>
      </c>
      <c r="N121" s="5" t="s">
        <v>443</v>
      </c>
      <c r="O121" s="4">
        <v>1</v>
      </c>
      <c r="Q121" s="4"/>
      <c r="R121" s="4"/>
      <c r="S121" s="4"/>
      <c r="T121" s="26">
        <f>0.579772402471526*(0.88)</f>
        <v>0.51019971417494281</v>
      </c>
    </row>
    <row r="122" spans="1:20" ht="112">
      <c r="A122" s="18" t="s">
        <v>600</v>
      </c>
      <c r="B122" s="17" t="s">
        <v>254</v>
      </c>
      <c r="C122" s="17" t="s">
        <v>191</v>
      </c>
      <c r="D122" s="5" t="s">
        <v>32</v>
      </c>
      <c r="E122" s="20" t="s">
        <v>756</v>
      </c>
      <c r="F122" s="16">
        <v>419</v>
      </c>
      <c r="G122" s="9">
        <v>243.83598021710617</v>
      </c>
      <c r="H122" s="10">
        <v>410817.1989221042</v>
      </c>
      <c r="I122" s="1"/>
      <c r="J122" s="1"/>
      <c r="L122" s="5" t="s">
        <v>441</v>
      </c>
      <c r="M122" s="6" t="s">
        <v>442</v>
      </c>
      <c r="N122" s="5" t="s">
        <v>443</v>
      </c>
      <c r="O122" s="4">
        <v>1</v>
      </c>
      <c r="P122" s="20"/>
      <c r="Q122" s="4"/>
      <c r="R122" s="4"/>
      <c r="S122" s="4"/>
      <c r="T122" s="26">
        <f>0.149551026241291*(0.88)</f>
        <v>0.13160490309233608</v>
      </c>
    </row>
    <row r="123" spans="1:20" ht="48">
      <c r="A123" s="18" t="s">
        <v>487</v>
      </c>
      <c r="B123" s="17" t="s">
        <v>343</v>
      </c>
      <c r="C123" s="17" t="s">
        <v>48</v>
      </c>
      <c r="D123" s="5" t="s">
        <v>31</v>
      </c>
      <c r="E123" s="20" t="s">
        <v>754</v>
      </c>
      <c r="F123" s="16">
        <v>425</v>
      </c>
      <c r="G123" s="29">
        <v>1.1474719375327409</v>
      </c>
      <c r="H123" s="9">
        <v>522183.54664333793</v>
      </c>
      <c r="I123" s="1"/>
      <c r="J123" s="1"/>
      <c r="K123">
        <v>1</v>
      </c>
      <c r="L123" s="5" t="s">
        <v>461</v>
      </c>
      <c r="M123" s="6">
        <v>1</v>
      </c>
      <c r="N123" s="5" t="s">
        <v>451</v>
      </c>
      <c r="O123" s="4">
        <v>1</v>
      </c>
      <c r="P123" s="20" t="s">
        <v>778</v>
      </c>
      <c r="Q123" s="4">
        <v>3.0000000000000001E-3</v>
      </c>
      <c r="R123" s="4" t="s">
        <v>772</v>
      </c>
      <c r="S123" s="4">
        <v>0.09</v>
      </c>
      <c r="T123" s="26">
        <f>0.298747990977294*(0.88)</f>
        <v>0.26289823206001872</v>
      </c>
    </row>
    <row r="124" spans="1:20" ht="32">
      <c r="A124" s="67" t="s">
        <v>647</v>
      </c>
      <c r="B124" s="64" t="s">
        <v>366</v>
      </c>
      <c r="C124" s="64" t="s">
        <v>77</v>
      </c>
      <c r="D124" s="64" t="s">
        <v>31</v>
      </c>
      <c r="E124" s="64" t="s">
        <v>764</v>
      </c>
      <c r="F124" s="64">
        <v>437</v>
      </c>
      <c r="G124" s="66">
        <v>21.299447386134773</v>
      </c>
      <c r="H124" s="70">
        <v>888144.1399999999</v>
      </c>
      <c r="I124" s="1">
        <v>3</v>
      </c>
      <c r="J124" s="1">
        <v>1</v>
      </c>
      <c r="K124">
        <v>1</v>
      </c>
      <c r="L124" s="5" t="s">
        <v>460</v>
      </c>
      <c r="M124" s="6">
        <v>13</v>
      </c>
      <c r="N124" s="5" t="s">
        <v>451</v>
      </c>
      <c r="O124" s="64">
        <v>1</v>
      </c>
      <c r="P124" s="64" t="s">
        <v>800</v>
      </c>
      <c r="Q124" s="67">
        <v>1.49</v>
      </c>
      <c r="R124" s="67">
        <v>1.29</v>
      </c>
      <c r="S124" s="67">
        <v>1.72</v>
      </c>
      <c r="T124" s="69">
        <f>0.212487306783715*(0.88)</f>
        <v>0.1869888299696692</v>
      </c>
    </row>
    <row r="125" spans="1:20" ht="32">
      <c r="A125" t="s">
        <v>590</v>
      </c>
      <c r="B125" s="1" t="s">
        <v>20</v>
      </c>
      <c r="C125" s="1" t="s">
        <v>20</v>
      </c>
      <c r="D125" s="1" t="s">
        <v>31</v>
      </c>
      <c r="E125"/>
      <c r="F125" s="1"/>
      <c r="G125" s="28">
        <v>1.1635440671162765E-2</v>
      </c>
      <c r="I125" s="1">
        <v>1</v>
      </c>
      <c r="J125" s="1">
        <v>1</v>
      </c>
      <c r="L125" s="5" t="s">
        <v>508</v>
      </c>
      <c r="M125" s="6">
        <v>5</v>
      </c>
      <c r="N125" s="5" t="s">
        <v>443</v>
      </c>
      <c r="P125" s="1"/>
    </row>
    <row r="126" spans="1:20" ht="48">
      <c r="A126" t="s">
        <v>632</v>
      </c>
      <c r="B126" s="1" t="s">
        <v>276</v>
      </c>
      <c r="C126" s="1" t="s">
        <v>215</v>
      </c>
      <c r="D126" s="1" t="s">
        <v>31</v>
      </c>
      <c r="E126"/>
      <c r="F126" s="1">
        <v>2908</v>
      </c>
      <c r="G126" s="28">
        <v>2.8939906360520209</v>
      </c>
      <c r="I126" s="1">
        <v>3</v>
      </c>
      <c r="J126" s="1">
        <v>1</v>
      </c>
      <c r="K126">
        <v>1</v>
      </c>
      <c r="L126" s="5" t="s">
        <v>469</v>
      </c>
      <c r="M126" s="6" t="s">
        <v>470</v>
      </c>
      <c r="N126" s="5" t="s">
        <v>433</v>
      </c>
      <c r="P126" s="1"/>
    </row>
    <row r="127" spans="1:20" ht="32">
      <c r="A127" s="4" t="s">
        <v>607</v>
      </c>
      <c r="B127" s="5" t="s">
        <v>251</v>
      </c>
      <c r="C127" s="5" t="s">
        <v>192</v>
      </c>
      <c r="D127" s="5" t="s">
        <v>32</v>
      </c>
      <c r="E127" s="4" t="s">
        <v>819</v>
      </c>
      <c r="F127" s="16">
        <v>439</v>
      </c>
      <c r="G127" s="9">
        <v>243.83598021710617</v>
      </c>
      <c r="H127" s="10">
        <v>410817.1989221042</v>
      </c>
      <c r="I127" s="1">
        <v>2</v>
      </c>
      <c r="J127" s="1">
        <v>1</v>
      </c>
      <c r="L127" s="7" t="s">
        <v>484</v>
      </c>
      <c r="M127" s="8">
        <v>6</v>
      </c>
      <c r="N127" s="7" t="s">
        <v>443</v>
      </c>
      <c r="O127" s="4">
        <v>1</v>
      </c>
      <c r="P127" s="5" t="s">
        <v>816</v>
      </c>
      <c r="Q127" s="4">
        <v>0.67</v>
      </c>
      <c r="R127" s="4">
        <v>0.46</v>
      </c>
      <c r="S127" s="4">
        <v>0.97</v>
      </c>
      <c r="T127" s="26">
        <f>0.149551026241291*(0.88)</f>
        <v>0.13160490309233608</v>
      </c>
    </row>
    <row r="128" spans="1:20" ht="48">
      <c r="A128" t="s">
        <v>623</v>
      </c>
      <c r="B128" s="1" t="s">
        <v>379</v>
      </c>
      <c r="C128" s="1" t="s">
        <v>33</v>
      </c>
      <c r="D128" s="1" t="s">
        <v>116</v>
      </c>
      <c r="E128"/>
      <c r="F128" s="1">
        <v>681</v>
      </c>
      <c r="G128" s="28">
        <v>3.6837913810802321</v>
      </c>
      <c r="I128" s="1">
        <v>2</v>
      </c>
      <c r="J128" s="1">
        <v>1</v>
      </c>
      <c r="L128" s="7" t="s">
        <v>624</v>
      </c>
      <c r="M128" s="8" t="s">
        <v>625</v>
      </c>
      <c r="N128" s="7" t="s">
        <v>443</v>
      </c>
      <c r="P128" s="1"/>
    </row>
    <row r="129" spans="1:20" ht="48">
      <c r="A129" t="s">
        <v>714</v>
      </c>
      <c r="B129" s="1" t="s">
        <v>334</v>
      </c>
      <c r="C129" s="1" t="s">
        <v>144</v>
      </c>
      <c r="D129" s="1" t="s">
        <v>31</v>
      </c>
      <c r="E129"/>
      <c r="F129" s="1"/>
      <c r="G129" s="28">
        <v>231.3957558791088</v>
      </c>
      <c r="I129" s="1">
        <v>4</v>
      </c>
      <c r="J129" s="1">
        <v>1</v>
      </c>
      <c r="L129" s="5" t="s">
        <v>484</v>
      </c>
      <c r="M129" s="6">
        <v>6</v>
      </c>
      <c r="N129" s="5" t="s">
        <v>451</v>
      </c>
      <c r="P129" s="1"/>
    </row>
    <row r="130" spans="1:20" ht="32">
      <c r="A130" s="67" t="s">
        <v>615</v>
      </c>
      <c r="B130" s="64" t="s">
        <v>415</v>
      </c>
      <c r="C130" s="64" t="s">
        <v>166</v>
      </c>
      <c r="D130" s="64" t="s">
        <v>1</v>
      </c>
      <c r="E130" s="67" t="s">
        <v>825</v>
      </c>
      <c r="F130" s="64">
        <v>440.3</v>
      </c>
      <c r="G130" s="66">
        <v>1.1496900605005875</v>
      </c>
      <c r="H130" s="68">
        <v>107311.01999999999</v>
      </c>
      <c r="I130" s="1">
        <v>5</v>
      </c>
      <c r="J130" s="1">
        <v>2</v>
      </c>
      <c r="K130">
        <v>1</v>
      </c>
      <c r="L130" s="5" t="s">
        <v>447</v>
      </c>
      <c r="M130" s="6">
        <v>18</v>
      </c>
      <c r="N130" s="5" t="s">
        <v>433</v>
      </c>
      <c r="O130" s="70">
        <v>1</v>
      </c>
      <c r="P130" s="64" t="s">
        <v>817</v>
      </c>
      <c r="Q130" s="67">
        <v>0.96199999999999997</v>
      </c>
      <c r="R130" s="67">
        <v>0.80400000000000005</v>
      </c>
      <c r="S130" s="67">
        <v>0.999</v>
      </c>
      <c r="T130" s="69">
        <f>0.924908816360775*(0.88)</f>
        <v>0.8139197583974821</v>
      </c>
    </row>
    <row r="131" spans="1:20" ht="48">
      <c r="A131" t="s">
        <v>537</v>
      </c>
      <c r="B131" s="1" t="s">
        <v>274</v>
      </c>
      <c r="C131" s="1" t="s">
        <v>205</v>
      </c>
      <c r="D131" s="1" t="s">
        <v>31</v>
      </c>
      <c r="E131"/>
      <c r="F131" s="1"/>
      <c r="G131" s="28">
        <v>9.2458293766477926</v>
      </c>
      <c r="I131" s="1">
        <v>2</v>
      </c>
      <c r="J131" s="1">
        <v>1</v>
      </c>
      <c r="L131" s="5" t="s">
        <v>484</v>
      </c>
      <c r="M131" s="6">
        <v>6</v>
      </c>
      <c r="N131" s="5" t="s">
        <v>443</v>
      </c>
      <c r="P131" s="1"/>
    </row>
    <row r="132" spans="1:20" ht="32">
      <c r="A132" t="s">
        <v>524</v>
      </c>
      <c r="B132" s="1" t="s">
        <v>341</v>
      </c>
      <c r="C132" s="1" t="s">
        <v>140</v>
      </c>
      <c r="D132" s="1" t="s">
        <v>31</v>
      </c>
      <c r="E132"/>
      <c r="F132" s="1">
        <v>3560</v>
      </c>
      <c r="G132" s="28">
        <v>2.923101510025103</v>
      </c>
      <c r="I132" s="1">
        <v>3</v>
      </c>
      <c r="J132" s="1">
        <v>1</v>
      </c>
      <c r="L132" s="5" t="s">
        <v>484</v>
      </c>
      <c r="M132" s="6">
        <v>6</v>
      </c>
      <c r="N132" s="5" t="s">
        <v>433</v>
      </c>
      <c r="P132" s="1"/>
    </row>
    <row r="133" spans="1:20" ht="32">
      <c r="A133" t="s">
        <v>633</v>
      </c>
      <c r="B133" s="1" t="s">
        <v>277</v>
      </c>
      <c r="C133" s="1" t="s">
        <v>143</v>
      </c>
      <c r="D133" s="1" t="s">
        <v>31</v>
      </c>
      <c r="E133"/>
      <c r="F133" s="1">
        <v>12680</v>
      </c>
      <c r="G133" s="28">
        <v>131.71779696347781</v>
      </c>
      <c r="I133" s="1">
        <v>5</v>
      </c>
      <c r="J133" s="1">
        <v>1</v>
      </c>
      <c r="L133" s="5" t="s">
        <v>484</v>
      </c>
      <c r="M133" s="6">
        <v>6</v>
      </c>
      <c r="N133" s="5" t="s">
        <v>451</v>
      </c>
      <c r="P133" s="1"/>
    </row>
    <row r="134" spans="1:20">
      <c r="A134" s="4" t="s">
        <v>683</v>
      </c>
      <c r="B134" s="5" t="s">
        <v>417</v>
      </c>
      <c r="C134" s="5" t="s">
        <v>109</v>
      </c>
      <c r="D134" s="5" t="s">
        <v>1</v>
      </c>
      <c r="E134" s="4" t="s">
        <v>825</v>
      </c>
      <c r="F134" s="5">
        <v>440.3</v>
      </c>
      <c r="G134" s="29">
        <v>1.1496900605005875</v>
      </c>
      <c r="H134" s="11">
        <v>193159.83599999998</v>
      </c>
      <c r="I134" s="1">
        <v>5</v>
      </c>
      <c r="J134" s="1">
        <v>2</v>
      </c>
      <c r="K134">
        <v>1</v>
      </c>
      <c r="L134" s="5" t="s">
        <v>447</v>
      </c>
      <c r="M134" s="6">
        <v>18</v>
      </c>
      <c r="N134" s="5" t="s">
        <v>433</v>
      </c>
      <c r="O134" s="31">
        <v>1</v>
      </c>
      <c r="P134" s="5"/>
      <c r="Q134" s="4"/>
      <c r="R134" s="4"/>
      <c r="S134" s="4"/>
      <c r="T134" s="26">
        <f>0.924908816360775*(0.88)</f>
        <v>0.8139197583974821</v>
      </c>
    </row>
    <row r="135" spans="1:20" ht="48">
      <c r="A135" t="s">
        <v>538</v>
      </c>
      <c r="B135" s="1" t="s">
        <v>327</v>
      </c>
      <c r="C135" s="1" t="s">
        <v>211</v>
      </c>
      <c r="D135" s="1" t="s">
        <v>31</v>
      </c>
      <c r="E135"/>
      <c r="F135" s="1"/>
      <c r="G135" s="28">
        <v>0.67</v>
      </c>
      <c r="I135" s="1">
        <v>1</v>
      </c>
      <c r="J135" s="1">
        <v>2</v>
      </c>
      <c r="L135" s="5" t="s">
        <v>539</v>
      </c>
      <c r="M135" s="6" t="s">
        <v>540</v>
      </c>
      <c r="N135" s="5" t="s">
        <v>443</v>
      </c>
      <c r="P135" s="1"/>
    </row>
    <row r="136" spans="1:20" ht="32">
      <c r="A136" t="s">
        <v>609</v>
      </c>
      <c r="B136" s="1" t="s">
        <v>368</v>
      </c>
      <c r="C136" s="1" t="s">
        <v>210</v>
      </c>
      <c r="D136" s="1" t="s">
        <v>31</v>
      </c>
      <c r="E136"/>
      <c r="F136" s="1">
        <v>3.16</v>
      </c>
      <c r="G136" s="28">
        <v>32.674754216549147</v>
      </c>
      <c r="I136" s="1">
        <v>4</v>
      </c>
      <c r="J136" s="1">
        <v>1</v>
      </c>
      <c r="K136">
        <v>1</v>
      </c>
      <c r="L136" s="5" t="s">
        <v>610</v>
      </c>
      <c r="M136" s="6" t="s">
        <v>611</v>
      </c>
      <c r="N136" s="5" t="s">
        <v>443</v>
      </c>
      <c r="P136" s="1" t="s">
        <v>792</v>
      </c>
      <c r="Q136">
        <v>0.95</v>
      </c>
      <c r="R136" t="s">
        <v>772</v>
      </c>
      <c r="S136" t="s">
        <v>772</v>
      </c>
    </row>
    <row r="137" spans="1:20" ht="48">
      <c r="A137" s="4" t="s">
        <v>601</v>
      </c>
      <c r="B137" s="5" t="s">
        <v>255</v>
      </c>
      <c r="C137" s="5" t="s">
        <v>67</v>
      </c>
      <c r="D137" s="5" t="s">
        <v>32</v>
      </c>
      <c r="E137" s="4"/>
      <c r="F137" s="16">
        <v>458</v>
      </c>
      <c r="G137" s="9">
        <v>243.83598021710617</v>
      </c>
      <c r="H137" s="31">
        <v>344733.21880825708</v>
      </c>
      <c r="I137" s="1">
        <v>0</v>
      </c>
      <c r="J137" s="1">
        <v>1</v>
      </c>
      <c r="L137" s="5" t="s">
        <v>602</v>
      </c>
      <c r="M137" s="6" t="s">
        <v>603</v>
      </c>
      <c r="N137" s="5" t="s">
        <v>443</v>
      </c>
      <c r="O137" s="4">
        <v>1</v>
      </c>
      <c r="P137" s="5"/>
      <c r="Q137" s="4"/>
      <c r="R137" s="4"/>
      <c r="S137" s="4"/>
      <c r="T137" s="26">
        <f>0.149551026241291*(0.88)</f>
        <v>0.13160490309233608</v>
      </c>
    </row>
    <row r="138" spans="1:20">
      <c r="A138" s="4" t="s">
        <v>725</v>
      </c>
      <c r="B138" s="5" t="s">
        <v>72</v>
      </c>
      <c r="C138" s="5" t="s">
        <v>72</v>
      </c>
      <c r="D138" s="5" t="s">
        <v>1</v>
      </c>
      <c r="E138" s="4"/>
      <c r="F138" s="16">
        <v>480</v>
      </c>
      <c r="G138" s="29">
        <v>2.4728600738828872</v>
      </c>
      <c r="H138" s="31">
        <v>44914.114809328516</v>
      </c>
      <c r="I138" s="1">
        <v>5</v>
      </c>
      <c r="J138" s="1">
        <v>1</v>
      </c>
      <c r="K138">
        <v>1</v>
      </c>
      <c r="L138" s="5" t="s">
        <v>447</v>
      </c>
      <c r="M138" s="6">
        <v>18</v>
      </c>
      <c r="N138" s="5" t="s">
        <v>433</v>
      </c>
      <c r="O138" s="5">
        <v>1</v>
      </c>
      <c r="P138" s="5" t="s">
        <v>790</v>
      </c>
      <c r="Q138" s="4">
        <v>3.8</v>
      </c>
      <c r="R138" s="4">
        <v>2.6</v>
      </c>
      <c r="S138" s="4">
        <v>5.9</v>
      </c>
      <c r="T138" s="26">
        <f>0.3*(0.88)</f>
        <v>0.26400000000000001</v>
      </c>
    </row>
    <row r="139" spans="1:20" ht="32">
      <c r="A139" s="4" t="s">
        <v>660</v>
      </c>
      <c r="B139" s="5" t="s">
        <v>338</v>
      </c>
      <c r="C139" s="5" t="s">
        <v>11</v>
      </c>
      <c r="D139" s="5" t="s">
        <v>1</v>
      </c>
      <c r="E139" s="4"/>
      <c r="F139" s="16">
        <v>560</v>
      </c>
      <c r="G139" s="29">
        <v>2.4728600738828872</v>
      </c>
      <c r="H139" s="31">
        <v>49904.572010365016</v>
      </c>
      <c r="I139" s="1">
        <v>5</v>
      </c>
      <c r="J139" s="1"/>
      <c r="K139">
        <v>1</v>
      </c>
      <c r="L139" s="5" t="s">
        <v>447</v>
      </c>
      <c r="M139" s="6">
        <v>18</v>
      </c>
      <c r="N139" s="5" t="s">
        <v>433</v>
      </c>
      <c r="O139" s="31">
        <v>1</v>
      </c>
      <c r="P139" s="5" t="s">
        <v>770</v>
      </c>
      <c r="Q139" s="4">
        <f>1/2.047</f>
        <v>0.48851978505129456</v>
      </c>
      <c r="R139" s="4">
        <f>1/2.631</f>
        <v>0.38008361839604715</v>
      </c>
      <c r="S139" s="4">
        <f>1/1.593</f>
        <v>0.62774639045825487</v>
      </c>
      <c r="T139" s="26">
        <f>0.3*(0.88)</f>
        <v>0.26400000000000001</v>
      </c>
    </row>
    <row r="140" spans="1:20" ht="48">
      <c r="A140" s="67" t="s">
        <v>646</v>
      </c>
      <c r="B140" s="64" t="s">
        <v>369</v>
      </c>
      <c r="C140" s="64" t="s">
        <v>163</v>
      </c>
      <c r="D140" s="64" t="s">
        <v>31</v>
      </c>
      <c r="E140" s="64" t="s">
        <v>764</v>
      </c>
      <c r="F140" s="65">
        <v>566</v>
      </c>
      <c r="G140" s="66">
        <v>1.2581054540850005</v>
      </c>
      <c r="H140" s="70">
        <v>139324.61153881898</v>
      </c>
      <c r="I140" s="1"/>
      <c r="J140" s="1"/>
      <c r="L140" s="5" t="s">
        <v>523</v>
      </c>
      <c r="M140" s="6">
        <v>20</v>
      </c>
      <c r="N140" s="5" t="s">
        <v>451</v>
      </c>
      <c r="O140" s="67">
        <v>1</v>
      </c>
      <c r="P140" s="64" t="s">
        <v>804</v>
      </c>
      <c r="Q140" s="67">
        <v>-0.25</v>
      </c>
      <c r="R140" s="67">
        <v>-0.5</v>
      </c>
      <c r="S140" s="67">
        <v>0</v>
      </c>
      <c r="T140" s="69">
        <f>0.1*(0.88)</f>
        <v>8.8000000000000009E-2</v>
      </c>
    </row>
    <row r="141" spans="1:20" s="89" customFormat="1" ht="64">
      <c r="A141" s="89" t="s">
        <v>440</v>
      </c>
      <c r="B141" s="90" t="s">
        <v>399</v>
      </c>
      <c r="C141" s="90" t="s">
        <v>141</v>
      </c>
      <c r="D141" s="90" t="s">
        <v>0</v>
      </c>
      <c r="E141" s="90" t="s">
        <v>761</v>
      </c>
      <c r="F141" s="91">
        <v>576</v>
      </c>
      <c r="G141" s="92">
        <v>1.6278196387318138</v>
      </c>
      <c r="H141" s="93">
        <v>212428.50115096814</v>
      </c>
      <c r="I141" s="90"/>
      <c r="J141" s="90"/>
      <c r="L141" s="94" t="s">
        <v>441</v>
      </c>
      <c r="M141" s="95" t="s">
        <v>442</v>
      </c>
      <c r="N141" s="94" t="s">
        <v>443</v>
      </c>
      <c r="O141" s="89">
        <v>1</v>
      </c>
      <c r="P141" s="90" t="s">
        <v>773</v>
      </c>
      <c r="Q141" s="89" t="s">
        <v>774</v>
      </c>
      <c r="R141" s="89">
        <v>1.18</v>
      </c>
      <c r="S141" s="89">
        <v>2.59</v>
      </c>
      <c r="T141" s="96">
        <f>0.322446666744185*(0.88)</f>
        <v>0.28375306673488276</v>
      </c>
    </row>
    <row r="142" spans="1:20" s="89" customFormat="1" ht="48">
      <c r="A142" s="97" t="s">
        <v>696</v>
      </c>
      <c r="B142" s="98" t="s">
        <v>292</v>
      </c>
      <c r="C142" s="98" t="s">
        <v>176</v>
      </c>
      <c r="D142" s="90" t="s">
        <v>1</v>
      </c>
      <c r="E142" s="112" t="s">
        <v>90</v>
      </c>
      <c r="F142" s="91">
        <v>624</v>
      </c>
      <c r="G142" s="92">
        <v>0.92177949382319446</v>
      </c>
      <c r="H142" s="113">
        <v>12552.928266478431</v>
      </c>
      <c r="I142" s="90"/>
      <c r="J142" s="90"/>
      <c r="K142" s="89">
        <v>1</v>
      </c>
      <c r="L142" s="90" t="s">
        <v>462</v>
      </c>
      <c r="M142" s="99" t="s">
        <v>458</v>
      </c>
      <c r="N142" s="90" t="s">
        <v>433</v>
      </c>
      <c r="O142" s="89">
        <v>1</v>
      </c>
      <c r="P142" s="112"/>
      <c r="T142" s="96">
        <f>0.1*(0.88)</f>
        <v>8.8000000000000009E-2</v>
      </c>
    </row>
    <row r="143" spans="1:20" ht="32">
      <c r="A143" t="s">
        <v>727</v>
      </c>
      <c r="B143" s="1" t="s">
        <v>401</v>
      </c>
      <c r="C143" s="1" t="s">
        <v>204</v>
      </c>
      <c r="D143" s="1" t="s">
        <v>31</v>
      </c>
      <c r="E143"/>
      <c r="F143" s="1">
        <v>64</v>
      </c>
      <c r="G143" s="28"/>
      <c r="I143" s="1"/>
      <c r="J143" s="1">
        <v>2</v>
      </c>
      <c r="L143" s="5" t="s">
        <v>477</v>
      </c>
      <c r="M143" s="6">
        <v>8</v>
      </c>
      <c r="N143" s="5" t="s">
        <v>443</v>
      </c>
      <c r="P143" s="1"/>
    </row>
    <row r="144" spans="1:20" ht="48">
      <c r="A144" s="18" t="s">
        <v>565</v>
      </c>
      <c r="B144" s="17" t="s">
        <v>354</v>
      </c>
      <c r="C144" s="17" t="s">
        <v>174</v>
      </c>
      <c r="D144" s="5" t="s">
        <v>1</v>
      </c>
      <c r="F144" s="16">
        <v>653</v>
      </c>
      <c r="G144" s="29">
        <v>1.0377619447237165</v>
      </c>
      <c r="H144" s="11">
        <v>110692.51323359199</v>
      </c>
      <c r="I144" s="1"/>
      <c r="J144" s="1"/>
      <c r="K144">
        <v>1</v>
      </c>
      <c r="L144" s="5" t="s">
        <v>566</v>
      </c>
      <c r="M144" s="6" t="s">
        <v>567</v>
      </c>
      <c r="N144" s="5" t="s">
        <v>443</v>
      </c>
      <c r="O144" s="4">
        <v>1</v>
      </c>
      <c r="P144" s="17" t="s">
        <v>778</v>
      </c>
      <c r="Q144" s="4">
        <v>2E-3</v>
      </c>
      <c r="R144" s="4">
        <v>5.0000000000000001E-4</v>
      </c>
      <c r="S144" s="4">
        <v>6.0000000000000001E-3</v>
      </c>
      <c r="T144" s="26">
        <f>0.300838740208641*(0.88)</f>
        <v>0.26473809138360405</v>
      </c>
    </row>
    <row r="145" spans="1:20" ht="32">
      <c r="A145" t="s">
        <v>552</v>
      </c>
      <c r="B145" s="1" t="s">
        <v>363</v>
      </c>
      <c r="C145" s="1" t="s">
        <v>202</v>
      </c>
      <c r="D145" s="1" t="s">
        <v>31</v>
      </c>
      <c r="E145"/>
      <c r="F145" s="1"/>
      <c r="G145" s="28">
        <v>9.4E-2</v>
      </c>
      <c r="I145" s="1"/>
      <c r="J145" s="1"/>
      <c r="L145" s="5" t="s">
        <v>492</v>
      </c>
      <c r="M145" s="6">
        <v>10</v>
      </c>
      <c r="N145" s="5" t="s">
        <v>433</v>
      </c>
      <c r="P145" s="1"/>
    </row>
    <row r="146" spans="1:20" ht="32">
      <c r="A146" t="s">
        <v>486</v>
      </c>
      <c r="B146" s="1" t="s">
        <v>376</v>
      </c>
      <c r="C146" s="1" t="s">
        <v>689</v>
      </c>
      <c r="D146" s="1" t="s">
        <v>31</v>
      </c>
      <c r="E146"/>
      <c r="F146" s="1"/>
      <c r="G146" s="28">
        <v>9.4E-2</v>
      </c>
      <c r="I146" s="1"/>
      <c r="J146" s="1"/>
      <c r="L146" s="5" t="s">
        <v>492</v>
      </c>
      <c r="M146" s="6">
        <v>10</v>
      </c>
      <c r="N146" s="5" t="s">
        <v>443</v>
      </c>
      <c r="P146" s="1"/>
    </row>
    <row r="147" spans="1:20" ht="32">
      <c r="A147" t="s">
        <v>530</v>
      </c>
      <c r="B147" s="1" t="s">
        <v>270</v>
      </c>
      <c r="C147" s="1" t="s">
        <v>136</v>
      </c>
      <c r="D147" s="1" t="s">
        <v>31</v>
      </c>
      <c r="E147"/>
      <c r="F147" s="1"/>
      <c r="G147" s="28">
        <v>4.6867967066306457</v>
      </c>
      <c r="I147" s="1">
        <v>1</v>
      </c>
      <c r="J147" s="1">
        <v>1</v>
      </c>
      <c r="L147" s="5" t="s">
        <v>431</v>
      </c>
      <c r="M147" s="6">
        <v>11</v>
      </c>
      <c r="N147" s="5" t="s">
        <v>443</v>
      </c>
      <c r="P147" s="1"/>
    </row>
    <row r="148" spans="1:20" ht="48">
      <c r="A148" t="s">
        <v>705</v>
      </c>
      <c r="B148" s="1" t="s">
        <v>365</v>
      </c>
      <c r="C148" s="1" t="s">
        <v>130</v>
      </c>
      <c r="D148" s="1" t="s">
        <v>31</v>
      </c>
      <c r="E148"/>
      <c r="F148" s="1"/>
      <c r="G148" s="28">
        <v>19.220474619863193</v>
      </c>
      <c r="I148" s="1">
        <v>2</v>
      </c>
      <c r="J148" s="1">
        <v>1</v>
      </c>
      <c r="L148" s="5" t="s">
        <v>431</v>
      </c>
      <c r="M148" s="6">
        <v>11</v>
      </c>
      <c r="N148" s="5" t="s">
        <v>451</v>
      </c>
      <c r="P148" s="1"/>
    </row>
    <row r="149" spans="1:20" ht="32">
      <c r="A149" t="s">
        <v>564</v>
      </c>
      <c r="B149" s="1" t="s">
        <v>345</v>
      </c>
      <c r="C149" s="1" t="s">
        <v>139</v>
      </c>
      <c r="D149" s="1" t="s">
        <v>31</v>
      </c>
      <c r="E149"/>
      <c r="F149" s="1">
        <v>1100</v>
      </c>
      <c r="G149" s="28">
        <v>50.993475299729845</v>
      </c>
      <c r="I149" s="1">
        <v>2</v>
      </c>
      <c r="J149" s="1">
        <v>1</v>
      </c>
      <c r="L149" s="5" t="s">
        <v>431</v>
      </c>
      <c r="M149" s="6">
        <v>11</v>
      </c>
      <c r="N149" s="5" t="s">
        <v>451</v>
      </c>
      <c r="P149" s="1"/>
    </row>
    <row r="150" spans="1:20" ht="32">
      <c r="A150" t="s">
        <v>452</v>
      </c>
      <c r="B150" s="1" t="s">
        <v>342</v>
      </c>
      <c r="C150" s="1" t="s">
        <v>132</v>
      </c>
      <c r="D150" s="1" t="s">
        <v>31</v>
      </c>
      <c r="E150"/>
      <c r="F150" s="1"/>
      <c r="G150" s="28">
        <v>2.675764110756124E-2</v>
      </c>
      <c r="I150" s="1">
        <v>1</v>
      </c>
      <c r="J150" s="1">
        <v>1</v>
      </c>
      <c r="K150">
        <v>1</v>
      </c>
      <c r="L150" s="7" t="s">
        <v>431</v>
      </c>
      <c r="M150" s="8">
        <v>11</v>
      </c>
      <c r="N150" s="7" t="s">
        <v>433</v>
      </c>
      <c r="P150" s="1" t="s">
        <v>796</v>
      </c>
      <c r="Q150">
        <v>0.42</v>
      </c>
      <c r="R150">
        <v>0.34</v>
      </c>
      <c r="S150">
        <v>0.5</v>
      </c>
    </row>
    <row r="151" spans="1:20" ht="32">
      <c r="A151" t="s">
        <v>672</v>
      </c>
      <c r="B151" s="1" t="s">
        <v>371</v>
      </c>
      <c r="C151" s="1" t="s">
        <v>134</v>
      </c>
      <c r="D151" s="1" t="s">
        <v>31</v>
      </c>
      <c r="E151"/>
      <c r="F151" s="1">
        <v>4813</v>
      </c>
      <c r="G151" s="28">
        <v>41.05698281732284</v>
      </c>
      <c r="I151" s="1">
        <v>2</v>
      </c>
      <c r="J151" s="1">
        <v>1</v>
      </c>
      <c r="L151" s="5" t="s">
        <v>431</v>
      </c>
      <c r="M151" s="6">
        <v>11</v>
      </c>
      <c r="N151" s="5" t="s">
        <v>451</v>
      </c>
      <c r="P151" s="1"/>
    </row>
    <row r="152" spans="1:20">
      <c r="A152" s="18" t="s">
        <v>588</v>
      </c>
      <c r="B152" s="17" t="s">
        <v>422</v>
      </c>
      <c r="C152" s="17" t="s">
        <v>36</v>
      </c>
      <c r="D152" s="5" t="s">
        <v>0</v>
      </c>
      <c r="E152" s="18" t="s">
        <v>89</v>
      </c>
      <c r="F152" s="16">
        <v>683</v>
      </c>
      <c r="G152" s="29">
        <v>5.2529935346168033</v>
      </c>
      <c r="H152" s="10">
        <v>34065.72</v>
      </c>
      <c r="I152" s="1">
        <v>2</v>
      </c>
      <c r="J152" s="1">
        <v>1</v>
      </c>
      <c r="L152" s="5" t="s">
        <v>504</v>
      </c>
      <c r="M152" s="6">
        <v>9</v>
      </c>
      <c r="N152" s="5" t="s">
        <v>451</v>
      </c>
      <c r="O152" s="4">
        <v>1</v>
      </c>
      <c r="Q152" s="4"/>
      <c r="R152" s="4"/>
      <c r="S152" s="4"/>
      <c r="T152" s="26">
        <v>0.1</v>
      </c>
    </row>
    <row r="153" spans="1:20">
      <c r="A153" s="62" t="s">
        <v>493</v>
      </c>
      <c r="B153" s="63" t="s">
        <v>70</v>
      </c>
      <c r="C153" s="63" t="s">
        <v>70</v>
      </c>
      <c r="D153" s="64" t="s">
        <v>31</v>
      </c>
      <c r="E153" s="67" t="s">
        <v>753</v>
      </c>
      <c r="F153" s="65">
        <v>790</v>
      </c>
      <c r="G153" s="66">
        <v>2.3090394382066566</v>
      </c>
      <c r="H153" s="68">
        <v>761818.78120938933</v>
      </c>
      <c r="I153" s="1">
        <v>3</v>
      </c>
      <c r="J153" s="1">
        <v>1</v>
      </c>
      <c r="L153" s="5" t="s">
        <v>447</v>
      </c>
      <c r="M153" s="6">
        <v>18</v>
      </c>
      <c r="N153" s="5" t="s">
        <v>443</v>
      </c>
      <c r="O153" s="67">
        <v>1</v>
      </c>
      <c r="P153" s="64"/>
      <c r="Q153" s="67"/>
      <c r="R153" s="67"/>
      <c r="S153" s="67"/>
      <c r="T153" s="69">
        <f>0.722809867427738*(0.88)</f>
        <v>0.63607268333640943</v>
      </c>
    </row>
    <row r="154" spans="1:20" ht="32">
      <c r="A154" t="s">
        <v>680</v>
      </c>
      <c r="B154" s="1" t="s">
        <v>374</v>
      </c>
      <c r="C154" s="1" t="s">
        <v>99</v>
      </c>
      <c r="D154" s="1" t="s">
        <v>31</v>
      </c>
      <c r="E154"/>
      <c r="F154" s="1"/>
      <c r="G154" s="28">
        <v>0.12884216254510045</v>
      </c>
      <c r="I154" s="1">
        <v>0</v>
      </c>
      <c r="J154" s="1">
        <v>1</v>
      </c>
      <c r="K154">
        <v>1</v>
      </c>
      <c r="L154" s="5" t="s">
        <v>431</v>
      </c>
      <c r="M154" s="6">
        <v>11</v>
      </c>
      <c r="N154" s="5" t="s">
        <v>451</v>
      </c>
      <c r="P154" s="1"/>
    </row>
    <row r="155" spans="1:20" ht="32">
      <c r="A155" t="s">
        <v>716</v>
      </c>
      <c r="B155" s="1" t="s">
        <v>378</v>
      </c>
      <c r="C155" s="1" t="s">
        <v>65</v>
      </c>
      <c r="D155" s="1" t="s">
        <v>31</v>
      </c>
      <c r="E155"/>
      <c r="F155" s="1">
        <v>12</v>
      </c>
      <c r="G155" s="28">
        <v>0.12884216254510045</v>
      </c>
      <c r="I155" s="1">
        <v>1</v>
      </c>
      <c r="J155" s="1">
        <v>1</v>
      </c>
      <c r="K155">
        <v>1</v>
      </c>
      <c r="L155" s="5" t="s">
        <v>431</v>
      </c>
      <c r="M155" s="6">
        <v>11</v>
      </c>
      <c r="N155" s="5" t="s">
        <v>451</v>
      </c>
      <c r="P155" s="1"/>
    </row>
    <row r="156" spans="1:20">
      <c r="A156" s="18" t="s">
        <v>501</v>
      </c>
      <c r="B156" s="17" t="s">
        <v>6</v>
      </c>
      <c r="C156" s="17" t="s">
        <v>6</v>
      </c>
      <c r="D156" s="5" t="s">
        <v>31</v>
      </c>
      <c r="E156" s="4" t="s">
        <v>753</v>
      </c>
      <c r="F156" s="16">
        <v>790</v>
      </c>
      <c r="G156" s="29">
        <v>2.3090394382066566</v>
      </c>
      <c r="H156" s="11">
        <v>708491.46652473218</v>
      </c>
      <c r="I156" s="1">
        <v>3</v>
      </c>
      <c r="J156" s="1">
        <v>1</v>
      </c>
      <c r="L156" s="5" t="s">
        <v>447</v>
      </c>
      <c r="M156" s="6">
        <v>18</v>
      </c>
      <c r="N156" s="5" t="s">
        <v>443</v>
      </c>
      <c r="O156" s="4">
        <v>1</v>
      </c>
      <c r="P156" s="5"/>
      <c r="Q156" s="4"/>
      <c r="R156" s="4"/>
      <c r="S156" s="4"/>
      <c r="T156" s="26">
        <f>0.722809867427738*(0.88)</f>
        <v>0.63607268333640943</v>
      </c>
    </row>
    <row r="157" spans="1:20" ht="48">
      <c r="A157" s="18" t="s">
        <v>617</v>
      </c>
      <c r="B157" s="17" t="s">
        <v>15</v>
      </c>
      <c r="C157" s="17" t="s">
        <v>15</v>
      </c>
      <c r="D157" s="5" t="s">
        <v>1</v>
      </c>
      <c r="F157" s="16">
        <v>810</v>
      </c>
      <c r="G157" s="29">
        <v>5.7166629420240884</v>
      </c>
      <c r="H157" s="11">
        <v>37004.031634785853</v>
      </c>
      <c r="I157" s="1"/>
      <c r="J157" s="1"/>
      <c r="K157">
        <v>1</v>
      </c>
      <c r="L157" s="5" t="s">
        <v>566</v>
      </c>
      <c r="M157" s="6" t="s">
        <v>567</v>
      </c>
      <c r="N157" s="5" t="s">
        <v>443</v>
      </c>
      <c r="O157" s="4">
        <v>1</v>
      </c>
      <c r="P157" s="17" t="s">
        <v>778</v>
      </c>
      <c r="Q157" s="4">
        <v>5.0000000000000001E-3</v>
      </c>
      <c r="R157" s="4" t="s">
        <v>772</v>
      </c>
      <c r="S157" s="4">
        <v>5.0000000000000001E-3</v>
      </c>
      <c r="T157" s="26">
        <f>0.190150430501342*(0.88)</f>
        <v>0.16733237884118096</v>
      </c>
    </row>
    <row r="158" spans="1:20" ht="48">
      <c r="A158" s="18" t="s">
        <v>723</v>
      </c>
      <c r="B158" s="17" t="s">
        <v>16</v>
      </c>
      <c r="C158" s="17" t="s">
        <v>16</v>
      </c>
      <c r="D158" s="5" t="s">
        <v>1</v>
      </c>
      <c r="F158" s="16">
        <v>810</v>
      </c>
      <c r="G158" s="29">
        <v>5.7166629420240884</v>
      </c>
      <c r="H158" s="11">
        <v>44404.837961743004</v>
      </c>
      <c r="I158" s="1"/>
      <c r="J158" s="1"/>
      <c r="K158">
        <v>1</v>
      </c>
      <c r="L158" s="5" t="s">
        <v>566</v>
      </c>
      <c r="M158" s="6" t="s">
        <v>567</v>
      </c>
      <c r="N158" s="5" t="s">
        <v>443</v>
      </c>
      <c r="O158" s="4">
        <v>1</v>
      </c>
      <c r="P158" s="17" t="s">
        <v>778</v>
      </c>
      <c r="Q158" s="4">
        <v>1E-3</v>
      </c>
      <c r="R158" s="4" t="s">
        <v>772</v>
      </c>
      <c r="S158" s="4">
        <v>1.5E-3</v>
      </c>
      <c r="T158" s="26">
        <f>0.190150430501342*(0.88)</f>
        <v>0.16733237884118096</v>
      </c>
    </row>
    <row r="159" spans="1:20" ht="32">
      <c r="A159" t="s">
        <v>707</v>
      </c>
      <c r="B159" s="1" t="s">
        <v>279</v>
      </c>
      <c r="C159" s="1" t="s">
        <v>27</v>
      </c>
      <c r="D159" s="1" t="s">
        <v>31</v>
      </c>
      <c r="E159"/>
      <c r="F159" s="1">
        <v>96</v>
      </c>
      <c r="G159" s="28">
        <v>11.087821949862175</v>
      </c>
      <c r="I159" s="1">
        <v>1</v>
      </c>
      <c r="J159" s="1">
        <v>1</v>
      </c>
      <c r="L159" s="5" t="s">
        <v>708</v>
      </c>
      <c r="M159" s="6" t="s">
        <v>709</v>
      </c>
      <c r="N159" s="5" t="s">
        <v>451</v>
      </c>
      <c r="P159" s="1"/>
    </row>
    <row r="160" spans="1:20" ht="48">
      <c r="A160" t="s">
        <v>517</v>
      </c>
      <c r="B160" s="1" t="s">
        <v>331</v>
      </c>
      <c r="C160" s="1" t="s">
        <v>128</v>
      </c>
      <c r="D160" s="1" t="s">
        <v>31</v>
      </c>
      <c r="E160"/>
      <c r="F160" s="1"/>
      <c r="G160" s="28">
        <v>64.358947526679671</v>
      </c>
      <c r="I160" s="1"/>
      <c r="J160" s="1"/>
      <c r="K160">
        <v>1</v>
      </c>
      <c r="L160" s="5" t="s">
        <v>518</v>
      </c>
      <c r="M160" s="6" t="s">
        <v>519</v>
      </c>
      <c r="N160" s="5" t="s">
        <v>451</v>
      </c>
      <c r="P160" s="1"/>
    </row>
    <row r="161" spans="1:20">
      <c r="A161" t="s">
        <v>690</v>
      </c>
      <c r="B161" s="1" t="s">
        <v>364</v>
      </c>
      <c r="C161" s="1" t="s">
        <v>26</v>
      </c>
      <c r="D161" s="1" t="s">
        <v>31</v>
      </c>
      <c r="E161"/>
      <c r="F161" s="1"/>
      <c r="G161" s="28">
        <v>13.431505823786758</v>
      </c>
      <c r="I161" s="1">
        <v>2</v>
      </c>
      <c r="J161" s="1">
        <v>1</v>
      </c>
      <c r="L161" s="5" t="s">
        <v>460</v>
      </c>
      <c r="M161" s="6">
        <v>13</v>
      </c>
      <c r="N161" s="5" t="s">
        <v>451</v>
      </c>
      <c r="P161" s="1"/>
    </row>
    <row r="162" spans="1:20">
      <c r="A162" s="4" t="s">
        <v>536</v>
      </c>
      <c r="B162" s="5" t="s">
        <v>44</v>
      </c>
      <c r="C162" s="5" t="s">
        <v>44</v>
      </c>
      <c r="D162" s="5" t="s">
        <v>31</v>
      </c>
      <c r="E162" s="5"/>
      <c r="F162" s="16">
        <v>920</v>
      </c>
      <c r="G162" s="29">
        <v>1.2581054540850005</v>
      </c>
      <c r="H162" s="31">
        <v>273673.34409410873</v>
      </c>
      <c r="I162" s="1"/>
      <c r="J162" s="1"/>
      <c r="L162" s="5" t="s">
        <v>529</v>
      </c>
      <c r="M162" s="6">
        <v>21</v>
      </c>
      <c r="N162" s="5" t="s">
        <v>443</v>
      </c>
      <c r="O162" s="4">
        <v>1</v>
      </c>
      <c r="P162" s="5"/>
      <c r="Q162" s="4"/>
      <c r="R162" s="4"/>
      <c r="S162" s="4"/>
      <c r="T162" s="26">
        <f>0.1*(0.88)</f>
        <v>8.8000000000000009E-2</v>
      </c>
    </row>
    <row r="163" spans="1:20" ht="128">
      <c r="A163" s="18" t="s">
        <v>499</v>
      </c>
      <c r="B163" s="17" t="s">
        <v>281</v>
      </c>
      <c r="C163" s="17" t="s">
        <v>98</v>
      </c>
      <c r="D163" s="5" t="s">
        <v>116</v>
      </c>
      <c r="E163" s="17" t="s">
        <v>741</v>
      </c>
      <c r="F163" s="16">
        <v>1032</v>
      </c>
      <c r="G163" s="29">
        <v>15.788604071561096</v>
      </c>
      <c r="H163" s="9">
        <v>1559806.2375835935</v>
      </c>
      <c r="I163" s="1">
        <v>4</v>
      </c>
      <c r="J163" s="1">
        <v>3</v>
      </c>
      <c r="K163">
        <v>1</v>
      </c>
      <c r="L163" s="5" t="s">
        <v>500</v>
      </c>
      <c r="M163" s="6">
        <v>7</v>
      </c>
      <c r="N163" s="5" t="s">
        <v>451</v>
      </c>
      <c r="O163" s="4">
        <v>1</v>
      </c>
      <c r="Q163" s="4"/>
      <c r="R163" s="4"/>
      <c r="S163" s="4"/>
      <c r="T163" s="26">
        <f>0.751808870533138*(0.88)</f>
        <v>0.66159180606916146</v>
      </c>
    </row>
    <row r="164" spans="1:20" ht="48">
      <c r="A164" s="4" t="s">
        <v>545</v>
      </c>
      <c r="B164" s="5" t="s">
        <v>381</v>
      </c>
      <c r="C164" s="5" t="s">
        <v>218</v>
      </c>
      <c r="D164" s="5" t="s">
        <v>116</v>
      </c>
      <c r="E164" s="4" t="s">
        <v>88</v>
      </c>
      <c r="F164" s="5">
        <v>1089</v>
      </c>
      <c r="G164" s="29">
        <v>2.2046229513898377</v>
      </c>
      <c r="H164" s="31">
        <v>47302.479999999996</v>
      </c>
      <c r="I164" s="1">
        <v>2</v>
      </c>
      <c r="J164" s="1">
        <v>3</v>
      </c>
      <c r="K164">
        <v>1</v>
      </c>
      <c r="L164" s="5" t="s">
        <v>500</v>
      </c>
      <c r="M164" s="6">
        <v>7</v>
      </c>
      <c r="N164" s="5" t="s">
        <v>451</v>
      </c>
      <c r="O164" s="5">
        <v>1</v>
      </c>
      <c r="P164" s="5" t="s">
        <v>793</v>
      </c>
      <c r="Q164" s="4">
        <v>0.56000000000000005</v>
      </c>
      <c r="R164" s="4">
        <v>0.41</v>
      </c>
      <c r="S164" s="4">
        <v>0.76</v>
      </c>
      <c r="T164" s="26">
        <f>0.437638685361166*(0.88)</f>
        <v>0.38512204311782611</v>
      </c>
    </row>
    <row r="165" spans="1:20" ht="48">
      <c r="A165" s="44" t="s">
        <v>542</v>
      </c>
      <c r="B165" s="41" t="s">
        <v>259</v>
      </c>
      <c r="C165" s="41" t="s">
        <v>64</v>
      </c>
      <c r="D165" s="41" t="s">
        <v>0</v>
      </c>
      <c r="E165" s="41" t="s">
        <v>88</v>
      </c>
      <c r="F165" s="41">
        <v>1186</v>
      </c>
      <c r="G165" s="43">
        <v>0.248529494536535</v>
      </c>
      <c r="H165" s="51">
        <v>102197.15999999999</v>
      </c>
      <c r="I165" s="1">
        <v>2</v>
      </c>
      <c r="J165" s="1">
        <v>1</v>
      </c>
      <c r="L165" s="5" t="s">
        <v>543</v>
      </c>
      <c r="M165" s="6" t="s">
        <v>544</v>
      </c>
      <c r="N165" s="5" t="s">
        <v>443</v>
      </c>
      <c r="O165" s="44">
        <v>1</v>
      </c>
      <c r="P165" s="41"/>
      <c r="Q165" s="44"/>
      <c r="R165" s="44"/>
      <c r="S165" s="44"/>
      <c r="T165" s="48">
        <v>0.4</v>
      </c>
    </row>
    <row r="166" spans="1:20" ht="48">
      <c r="A166" s="54" t="s">
        <v>640</v>
      </c>
      <c r="B166" s="55" t="s">
        <v>314</v>
      </c>
      <c r="C166" s="55" t="s">
        <v>197</v>
      </c>
      <c r="D166" s="56" t="s">
        <v>0</v>
      </c>
      <c r="E166" s="55" t="s">
        <v>93</v>
      </c>
      <c r="F166" s="57">
        <v>1206</v>
      </c>
      <c r="G166" s="58">
        <v>1.9645495407841551</v>
      </c>
      <c r="H166" s="60">
        <v>91249.079999999987</v>
      </c>
      <c r="I166" s="1">
        <v>1</v>
      </c>
      <c r="J166" s="1">
        <v>1</v>
      </c>
      <c r="K166">
        <v>1</v>
      </c>
      <c r="L166" s="5" t="s">
        <v>641</v>
      </c>
      <c r="M166" s="6" t="s">
        <v>642</v>
      </c>
      <c r="N166" s="5" t="s">
        <v>443</v>
      </c>
      <c r="O166" s="59">
        <v>1</v>
      </c>
      <c r="P166" s="55"/>
      <c r="Q166" s="59"/>
      <c r="R166" s="59"/>
      <c r="S166" s="59"/>
      <c r="T166" s="61">
        <f>0.1*(0.88)</f>
        <v>8.8000000000000009E-2</v>
      </c>
    </row>
    <row r="167" spans="1:20" ht="32">
      <c r="A167" s="18" t="s">
        <v>673</v>
      </c>
      <c r="B167" s="17" t="s">
        <v>370</v>
      </c>
      <c r="C167" s="19" t="s">
        <v>80</v>
      </c>
      <c r="D167" s="1" t="s">
        <v>31</v>
      </c>
      <c r="E167" s="19" t="s">
        <v>82</v>
      </c>
      <c r="F167" s="15">
        <v>832</v>
      </c>
      <c r="G167" s="28">
        <v>3.61</v>
      </c>
      <c r="H167" s="31"/>
      <c r="I167" s="1">
        <v>1</v>
      </c>
      <c r="J167" s="1">
        <v>1</v>
      </c>
      <c r="L167" s="5" t="s">
        <v>674</v>
      </c>
      <c r="M167" s="6" t="s">
        <v>675</v>
      </c>
      <c r="N167" s="5" t="s">
        <v>443</v>
      </c>
      <c r="O167" s="4"/>
      <c r="P167" s="19"/>
      <c r="Q167" s="4"/>
      <c r="R167" s="4"/>
      <c r="S167" s="4"/>
      <c r="T167" s="26"/>
    </row>
    <row r="168" spans="1:20">
      <c r="A168" t="s">
        <v>520</v>
      </c>
      <c r="B168" s="1" t="s">
        <v>332</v>
      </c>
      <c r="C168" s="1" t="s">
        <v>52</v>
      </c>
      <c r="D168" s="1" t="s">
        <v>31</v>
      </c>
      <c r="E168" s="4"/>
      <c r="F168" s="1"/>
      <c r="G168" s="28">
        <v>5.2529935346168033</v>
      </c>
      <c r="H168" s="31"/>
      <c r="I168" s="1">
        <v>1</v>
      </c>
      <c r="J168" s="1">
        <v>1</v>
      </c>
      <c r="L168" s="5" t="s">
        <v>513</v>
      </c>
      <c r="M168" s="6">
        <v>14</v>
      </c>
      <c r="N168" s="5" t="s">
        <v>451</v>
      </c>
      <c r="P168" s="5"/>
      <c r="Q168" s="4"/>
      <c r="R168" s="4"/>
      <c r="S168" s="4"/>
      <c r="T168" s="26"/>
    </row>
    <row r="169" spans="1:20" ht="32">
      <c r="A169" t="s">
        <v>639</v>
      </c>
      <c r="B169" s="1" t="s">
        <v>361</v>
      </c>
      <c r="C169" s="1" t="s">
        <v>51</v>
      </c>
      <c r="D169" s="1" t="s">
        <v>31</v>
      </c>
      <c r="E169"/>
      <c r="F169" s="1"/>
      <c r="G169" s="28">
        <v>7.6419917665766146</v>
      </c>
      <c r="I169" s="1">
        <v>1</v>
      </c>
      <c r="J169" s="1">
        <v>2</v>
      </c>
      <c r="L169" s="5" t="s">
        <v>513</v>
      </c>
      <c r="M169" s="6">
        <v>14</v>
      </c>
      <c r="N169" s="5" t="s">
        <v>451</v>
      </c>
      <c r="P169" s="1"/>
    </row>
    <row r="170" spans="1:20" ht="32">
      <c r="A170" t="s">
        <v>676</v>
      </c>
      <c r="B170" s="1" t="s">
        <v>377</v>
      </c>
      <c r="C170" s="1" t="s">
        <v>50</v>
      </c>
      <c r="D170" s="1" t="s">
        <v>31</v>
      </c>
      <c r="E170"/>
      <c r="F170" s="1">
        <v>4898</v>
      </c>
      <c r="G170" s="28">
        <v>30.843021994351353</v>
      </c>
      <c r="I170" s="1">
        <v>3</v>
      </c>
      <c r="J170" s="1">
        <v>3</v>
      </c>
      <c r="L170" s="5" t="s">
        <v>549</v>
      </c>
      <c r="M170" s="6">
        <v>15</v>
      </c>
      <c r="N170" s="5" t="s">
        <v>443</v>
      </c>
      <c r="P170" s="1"/>
    </row>
    <row r="171" spans="1:20" ht="32">
      <c r="A171" s="18" t="s">
        <v>459</v>
      </c>
      <c r="B171" s="17" t="s">
        <v>402</v>
      </c>
      <c r="C171" s="17" t="s">
        <v>177</v>
      </c>
      <c r="D171" s="5" t="s">
        <v>31</v>
      </c>
      <c r="E171" s="18" t="s">
        <v>83</v>
      </c>
      <c r="F171" s="16">
        <v>1499</v>
      </c>
      <c r="G171" s="29">
        <v>21.299447386134773</v>
      </c>
      <c r="H171" s="31">
        <v>700745.72645999992</v>
      </c>
      <c r="I171" s="1">
        <v>4</v>
      </c>
      <c r="J171" s="1">
        <v>1</v>
      </c>
      <c r="K171">
        <v>1</v>
      </c>
      <c r="L171" s="5" t="s">
        <v>460</v>
      </c>
      <c r="M171" s="6">
        <v>13</v>
      </c>
      <c r="N171" s="5" t="s">
        <v>451</v>
      </c>
      <c r="O171" s="4">
        <v>1</v>
      </c>
      <c r="P171" s="17" t="s">
        <v>817</v>
      </c>
      <c r="Q171" s="4">
        <v>0.24</v>
      </c>
      <c r="R171" s="4">
        <v>0.12</v>
      </c>
      <c r="S171" s="4">
        <v>0.51</v>
      </c>
      <c r="T171" s="26">
        <f>0.212487306783715*(0.88)</f>
        <v>0.1869888299696692</v>
      </c>
    </row>
    <row r="172" spans="1:20" ht="32">
      <c r="A172" s="18" t="s">
        <v>665</v>
      </c>
      <c r="B172" s="17" t="s">
        <v>406</v>
      </c>
      <c r="C172" s="17" t="s">
        <v>171</v>
      </c>
      <c r="D172" s="5" t="s">
        <v>31</v>
      </c>
      <c r="E172" s="18" t="s">
        <v>95</v>
      </c>
      <c r="F172" s="16">
        <v>1499</v>
      </c>
      <c r="G172" s="29">
        <v>21.299447386134773</v>
      </c>
      <c r="H172" s="11">
        <v>1816152.2599999998</v>
      </c>
      <c r="I172" s="1">
        <v>4</v>
      </c>
      <c r="J172" s="1">
        <v>2</v>
      </c>
      <c r="K172">
        <v>1</v>
      </c>
      <c r="L172" s="5" t="s">
        <v>460</v>
      </c>
      <c r="M172" s="6">
        <v>13</v>
      </c>
      <c r="N172" s="5" t="s">
        <v>451</v>
      </c>
      <c r="O172" s="4">
        <v>1</v>
      </c>
      <c r="P172" s="17" t="s">
        <v>817</v>
      </c>
      <c r="Q172" s="4">
        <v>0.5</v>
      </c>
      <c r="R172" s="4">
        <v>0.41</v>
      </c>
      <c r="S172" s="4">
        <v>0.59</v>
      </c>
      <c r="T172" s="26">
        <f>0.212487306783715*(0.88)</f>
        <v>0.1869888299696692</v>
      </c>
    </row>
    <row r="173" spans="1:20" ht="32">
      <c r="A173" s="44" t="s">
        <v>635</v>
      </c>
      <c r="B173" s="41" t="s">
        <v>407</v>
      </c>
      <c r="C173" s="41" t="s">
        <v>115</v>
      </c>
      <c r="D173" s="41" t="s">
        <v>31</v>
      </c>
      <c r="E173" s="41" t="s">
        <v>745</v>
      </c>
      <c r="F173" s="41">
        <v>1675</v>
      </c>
      <c r="G173" s="43">
        <v>0</v>
      </c>
      <c r="H173" s="51">
        <v>69299.56</v>
      </c>
      <c r="I173" s="1">
        <v>3</v>
      </c>
      <c r="J173" s="1">
        <v>2</v>
      </c>
      <c r="K173">
        <v>1</v>
      </c>
      <c r="L173" s="5" t="s">
        <v>461</v>
      </c>
      <c r="M173" s="6">
        <v>1</v>
      </c>
      <c r="N173" s="5" t="s">
        <v>433</v>
      </c>
      <c r="O173" s="41">
        <v>1</v>
      </c>
      <c r="P173" s="53" t="s">
        <v>770</v>
      </c>
      <c r="Q173" s="44">
        <v>0.88</v>
      </c>
      <c r="R173" s="44">
        <v>0.8</v>
      </c>
      <c r="S173" s="44">
        <v>0.97</v>
      </c>
      <c r="T173" s="48">
        <v>0.4</v>
      </c>
    </row>
    <row r="174" spans="1:20" ht="80">
      <c r="A174" s="39" t="s">
        <v>702</v>
      </c>
      <c r="B174" s="40" t="s">
        <v>322</v>
      </c>
      <c r="C174" s="40" t="s">
        <v>121</v>
      </c>
      <c r="D174" s="41" t="s">
        <v>0</v>
      </c>
      <c r="E174" s="41" t="s">
        <v>96</v>
      </c>
      <c r="F174" s="42">
        <v>1830</v>
      </c>
      <c r="G174" s="43">
        <v>0.26010121047192036</v>
      </c>
      <c r="H174" s="49">
        <v>256956.89162639037</v>
      </c>
      <c r="I174" s="1">
        <v>1</v>
      </c>
      <c r="J174" s="1">
        <v>3</v>
      </c>
      <c r="K174">
        <v>1</v>
      </c>
      <c r="L174" s="5" t="s">
        <v>703</v>
      </c>
      <c r="M174" s="6" t="s">
        <v>704</v>
      </c>
      <c r="N174" s="5" t="s">
        <v>443</v>
      </c>
      <c r="O174" s="44">
        <v>1</v>
      </c>
      <c r="P174" s="53" t="s">
        <v>770</v>
      </c>
      <c r="Q174" s="44">
        <v>0.38</v>
      </c>
      <c r="R174" s="44">
        <v>0.27</v>
      </c>
      <c r="S174" s="44">
        <v>0.55000000000000004</v>
      </c>
      <c r="T174" s="48">
        <f>0.8*(0.88)</f>
        <v>0.70400000000000007</v>
      </c>
    </row>
    <row r="175" spans="1:20">
      <c r="A175" t="s">
        <v>618</v>
      </c>
      <c r="B175" s="1" t="s">
        <v>405</v>
      </c>
      <c r="C175" s="1" t="s">
        <v>3</v>
      </c>
      <c r="D175" s="1" t="s">
        <v>31</v>
      </c>
      <c r="E175"/>
      <c r="F175" s="1"/>
      <c r="G175" s="28">
        <v>16.122124895711178</v>
      </c>
      <c r="I175" s="1">
        <v>4</v>
      </c>
      <c r="J175" s="1">
        <v>1</v>
      </c>
      <c r="K175">
        <v>1</v>
      </c>
      <c r="L175" s="5" t="s">
        <v>447</v>
      </c>
      <c r="M175" s="6">
        <v>18</v>
      </c>
      <c r="N175" s="5" t="s">
        <v>433</v>
      </c>
      <c r="P175" s="1"/>
    </row>
    <row r="176" spans="1:20">
      <c r="A176" t="s">
        <v>661</v>
      </c>
      <c r="B176" s="1" t="s">
        <v>339</v>
      </c>
      <c r="C176" s="1" t="s">
        <v>4</v>
      </c>
      <c r="D176" s="1" t="s">
        <v>31</v>
      </c>
      <c r="E176"/>
      <c r="F176" s="1"/>
      <c r="G176" s="28">
        <v>16.122124895711178</v>
      </c>
      <c r="I176" s="1">
        <v>4</v>
      </c>
      <c r="J176" s="1"/>
      <c r="K176">
        <v>1</v>
      </c>
      <c r="L176" s="5" t="s">
        <v>447</v>
      </c>
      <c r="M176" s="6">
        <v>18</v>
      </c>
      <c r="N176" s="5" t="s">
        <v>433</v>
      </c>
      <c r="P176" s="1" t="s">
        <v>802</v>
      </c>
      <c r="Q176">
        <v>0.91500000000000004</v>
      </c>
      <c r="R176">
        <v>0.876</v>
      </c>
      <c r="S176">
        <v>0.95499999999999996</v>
      </c>
    </row>
    <row r="177" spans="1:20">
      <c r="A177" t="s">
        <v>697</v>
      </c>
      <c r="B177" s="1" t="s">
        <v>5</v>
      </c>
      <c r="C177" s="1" t="s">
        <v>5</v>
      </c>
      <c r="D177" s="1" t="s">
        <v>31</v>
      </c>
      <c r="E177"/>
      <c r="F177" s="1"/>
      <c r="G177" s="28">
        <v>16.122124895711178</v>
      </c>
      <c r="I177" s="1">
        <v>4</v>
      </c>
      <c r="J177" s="1">
        <v>1</v>
      </c>
      <c r="K177">
        <v>1</v>
      </c>
      <c r="L177" s="5" t="s">
        <v>447</v>
      </c>
      <c r="M177" s="6">
        <v>18</v>
      </c>
      <c r="N177" s="5" t="s">
        <v>433</v>
      </c>
      <c r="P177" s="1" t="s">
        <v>803</v>
      </c>
      <c r="Q177">
        <v>1.19</v>
      </c>
      <c r="R177" t="s">
        <v>772</v>
      </c>
      <c r="S177" t="s">
        <v>772</v>
      </c>
    </row>
    <row r="178" spans="1:20">
      <c r="A178" t="s">
        <v>717</v>
      </c>
      <c r="B178" s="1" t="s">
        <v>7</v>
      </c>
      <c r="C178" s="1" t="s">
        <v>7</v>
      </c>
      <c r="D178" s="1" t="s">
        <v>31</v>
      </c>
      <c r="E178"/>
      <c r="F178" s="1"/>
      <c r="G178" s="28">
        <v>16.122124895711178</v>
      </c>
      <c r="I178" s="1">
        <v>2</v>
      </c>
      <c r="J178" s="1">
        <v>1</v>
      </c>
      <c r="L178" s="7" t="s">
        <v>447</v>
      </c>
      <c r="M178" s="8">
        <v>18</v>
      </c>
      <c r="N178" s="7" t="s">
        <v>443</v>
      </c>
      <c r="P178" s="1"/>
    </row>
    <row r="179" spans="1:20" s="89" customFormat="1" ht="48">
      <c r="A179" s="97" t="s">
        <v>582</v>
      </c>
      <c r="B179" s="98" t="s">
        <v>353</v>
      </c>
      <c r="C179" s="98" t="s">
        <v>220</v>
      </c>
      <c r="D179" s="90" t="s">
        <v>1</v>
      </c>
      <c r="E179" s="112" t="s">
        <v>744</v>
      </c>
      <c r="F179" s="91">
        <v>2040</v>
      </c>
      <c r="G179" s="92">
        <v>12.313176410983239</v>
      </c>
      <c r="H179" s="113">
        <v>403267.66885170119</v>
      </c>
      <c r="I179" s="90">
        <v>6</v>
      </c>
      <c r="J179" s="90">
        <v>1</v>
      </c>
      <c r="K179" s="89">
        <v>1</v>
      </c>
      <c r="L179" s="90" t="s">
        <v>462</v>
      </c>
      <c r="M179" s="99" t="s">
        <v>458</v>
      </c>
      <c r="N179" s="90" t="s">
        <v>433</v>
      </c>
      <c r="O179" s="89">
        <v>1</v>
      </c>
      <c r="P179" s="114" t="s">
        <v>770</v>
      </c>
      <c r="Q179" s="89">
        <v>0.15</v>
      </c>
      <c r="R179" s="89">
        <v>0.12</v>
      </c>
      <c r="S179" s="89">
        <v>0.32</v>
      </c>
      <c r="T179" s="96">
        <f>0.391259294961732*(0.88)</f>
        <v>0.34430817956632415</v>
      </c>
    </row>
    <row r="180" spans="1:20" ht="32">
      <c r="A180" t="s">
        <v>663</v>
      </c>
      <c r="B180" s="1" t="s">
        <v>278</v>
      </c>
      <c r="C180" s="1" t="s">
        <v>58</v>
      </c>
      <c r="D180" s="1" t="s">
        <v>31</v>
      </c>
      <c r="E180"/>
      <c r="F180" s="1"/>
      <c r="G180" s="28">
        <v>5.2529935346168033</v>
      </c>
      <c r="I180" s="1">
        <v>1</v>
      </c>
      <c r="J180" s="1">
        <v>1</v>
      </c>
      <c r="L180" s="5" t="s">
        <v>436</v>
      </c>
      <c r="M180" s="6">
        <v>19</v>
      </c>
      <c r="N180" s="5" t="s">
        <v>451</v>
      </c>
      <c r="P180" s="1"/>
    </row>
    <row r="181" spans="1:20" ht="80">
      <c r="A181" s="18" t="s">
        <v>699</v>
      </c>
      <c r="B181" s="17" t="s">
        <v>320</v>
      </c>
      <c r="C181" s="17" t="s">
        <v>42</v>
      </c>
      <c r="D181" s="5" t="s">
        <v>0</v>
      </c>
      <c r="E181" s="17" t="s">
        <v>739</v>
      </c>
      <c r="F181" s="16">
        <v>2155</v>
      </c>
      <c r="G181" s="29">
        <v>39.717940571215586</v>
      </c>
      <c r="H181" s="9">
        <v>208471.57186212842</v>
      </c>
      <c r="I181" s="1">
        <v>1</v>
      </c>
      <c r="J181" s="1">
        <v>3</v>
      </c>
      <c r="L181" s="5" t="s">
        <v>500</v>
      </c>
      <c r="M181" s="6">
        <v>7</v>
      </c>
      <c r="N181" s="5" t="s">
        <v>443</v>
      </c>
      <c r="O181" s="4">
        <v>1</v>
      </c>
      <c r="P181" s="17" t="s">
        <v>817</v>
      </c>
      <c r="Q181" s="4">
        <v>0.67</v>
      </c>
      <c r="R181" s="4">
        <v>0.47</v>
      </c>
      <c r="S181" s="4">
        <v>0.96</v>
      </c>
      <c r="T181" s="26">
        <f>0.176259940331727*(0.88)</f>
        <v>0.15510874749191977</v>
      </c>
    </row>
    <row r="182" spans="1:20" ht="48">
      <c r="A182" t="s">
        <v>522</v>
      </c>
      <c r="B182" s="1" t="s">
        <v>333</v>
      </c>
      <c r="C182" s="1" t="s">
        <v>164</v>
      </c>
      <c r="D182" s="1" t="s">
        <v>31</v>
      </c>
      <c r="E182"/>
      <c r="F182" s="1"/>
      <c r="G182" s="28">
        <v>64.358947526679671</v>
      </c>
      <c r="I182" s="1"/>
      <c r="J182" s="1"/>
      <c r="L182" s="5" t="s">
        <v>523</v>
      </c>
      <c r="M182" s="6">
        <v>20</v>
      </c>
      <c r="N182" s="5" t="s">
        <v>451</v>
      </c>
      <c r="P182" s="1"/>
    </row>
    <row r="183" spans="1:20" ht="80">
      <c r="A183" s="18" t="s">
        <v>583</v>
      </c>
      <c r="B183" s="17" t="s">
        <v>375</v>
      </c>
      <c r="C183" s="17" t="s">
        <v>146</v>
      </c>
      <c r="D183" s="5" t="s">
        <v>31</v>
      </c>
      <c r="E183" s="18" t="s">
        <v>740</v>
      </c>
      <c r="F183" s="16">
        <v>2301</v>
      </c>
      <c r="G183" s="29">
        <v>10.67081623523557</v>
      </c>
      <c r="H183" s="9">
        <v>941243.72</v>
      </c>
      <c r="I183" s="1">
        <v>3</v>
      </c>
      <c r="J183" s="1">
        <v>3</v>
      </c>
      <c r="L183" s="5" t="s">
        <v>500</v>
      </c>
      <c r="M183" s="6">
        <v>7</v>
      </c>
      <c r="N183" s="5" t="s">
        <v>451</v>
      </c>
      <c r="O183" s="4">
        <v>1</v>
      </c>
      <c r="P183" s="17" t="s">
        <v>794</v>
      </c>
      <c r="Q183" s="4">
        <v>2.2999999999999998</v>
      </c>
      <c r="R183" s="4">
        <v>1.9</v>
      </c>
      <c r="S183" s="4">
        <v>2.7</v>
      </c>
      <c r="T183" s="26">
        <f>0.8*(0.88)</f>
        <v>0.70400000000000007</v>
      </c>
    </row>
    <row r="184" spans="1:20" ht="32">
      <c r="A184" t="s">
        <v>629</v>
      </c>
      <c r="B184" s="1" t="s">
        <v>175</v>
      </c>
      <c r="C184" s="1" t="s">
        <v>175</v>
      </c>
      <c r="D184" s="1" t="s">
        <v>116</v>
      </c>
      <c r="E184"/>
      <c r="F184" s="1"/>
      <c r="G184" s="28">
        <v>3.7862030200502059</v>
      </c>
      <c r="I184" s="1"/>
      <c r="J184" s="1"/>
      <c r="K184">
        <v>1</v>
      </c>
      <c r="L184" s="5" t="s">
        <v>461</v>
      </c>
      <c r="M184" s="6">
        <v>1</v>
      </c>
      <c r="N184" s="5" t="s">
        <v>433</v>
      </c>
      <c r="P184" s="1"/>
    </row>
    <row r="185" spans="1:20" ht="48">
      <c r="A185" s="18" t="s">
        <v>483</v>
      </c>
      <c r="B185" s="17" t="s">
        <v>298</v>
      </c>
      <c r="C185" s="17" t="s">
        <v>194</v>
      </c>
      <c r="D185" s="5" t="s">
        <v>0</v>
      </c>
      <c r="E185" s="17" t="s">
        <v>88</v>
      </c>
      <c r="F185" s="16">
        <v>2400</v>
      </c>
      <c r="G185" s="29">
        <v>2.2046229513898377</v>
      </c>
      <c r="H185" s="31">
        <v>20523.879999999997</v>
      </c>
      <c r="I185" s="1">
        <v>4</v>
      </c>
      <c r="J185" s="1">
        <v>1</v>
      </c>
      <c r="K185">
        <v>1</v>
      </c>
      <c r="L185" s="5" t="s">
        <v>484</v>
      </c>
      <c r="M185" s="6">
        <v>6</v>
      </c>
      <c r="N185" s="5" t="s">
        <v>451</v>
      </c>
      <c r="O185" s="4">
        <v>1</v>
      </c>
      <c r="Q185" s="4"/>
      <c r="R185" s="4"/>
      <c r="S185" s="4"/>
      <c r="T185" s="26">
        <f>0.437638685361166*(0.88)</f>
        <v>0.38512204311782611</v>
      </c>
    </row>
    <row r="186" spans="1:20" ht="64">
      <c r="A186" s="18" t="s">
        <v>580</v>
      </c>
      <c r="B186" s="17" t="s">
        <v>273</v>
      </c>
      <c r="C186" s="17" t="s">
        <v>97</v>
      </c>
      <c r="D186" s="5" t="s">
        <v>31</v>
      </c>
      <c r="E186" s="18" t="s">
        <v>740</v>
      </c>
      <c r="F186" s="16">
        <v>2626</v>
      </c>
      <c r="G186" s="29">
        <v>10.67081623523557</v>
      </c>
      <c r="H186" s="9">
        <v>923582.24222606863</v>
      </c>
      <c r="I186" s="1">
        <v>5</v>
      </c>
      <c r="J186" s="1">
        <v>3</v>
      </c>
      <c r="L186" s="5" t="s">
        <v>500</v>
      </c>
      <c r="M186" s="6">
        <v>7</v>
      </c>
      <c r="N186" s="5" t="s">
        <v>451</v>
      </c>
      <c r="O186" s="4">
        <v>1</v>
      </c>
      <c r="Q186" s="4"/>
      <c r="R186" s="4"/>
      <c r="S186" s="4"/>
      <c r="T186" s="26">
        <f>0.8*(0.88)</f>
        <v>0.70400000000000007</v>
      </c>
    </row>
    <row r="187" spans="1:20" ht="32">
      <c r="A187" s="39" t="s">
        <v>616</v>
      </c>
      <c r="B187" s="40" t="s">
        <v>416</v>
      </c>
      <c r="C187" s="40" t="s">
        <v>222</v>
      </c>
      <c r="D187" s="41" t="s">
        <v>1</v>
      </c>
      <c r="E187" s="39" t="s">
        <v>745</v>
      </c>
      <c r="F187" s="42">
        <v>3338</v>
      </c>
      <c r="G187" s="43">
        <v>0</v>
      </c>
      <c r="H187" s="49">
        <v>142498.46</v>
      </c>
      <c r="I187" s="1">
        <v>4</v>
      </c>
      <c r="J187" s="1">
        <v>3</v>
      </c>
      <c r="K187">
        <v>1</v>
      </c>
      <c r="L187" s="5" t="s">
        <v>461</v>
      </c>
      <c r="M187" s="6">
        <v>1</v>
      </c>
      <c r="N187" s="5" t="s">
        <v>433</v>
      </c>
      <c r="O187" s="44">
        <v>1</v>
      </c>
      <c r="P187" s="53" t="s">
        <v>770</v>
      </c>
      <c r="Q187" s="44">
        <v>0.47</v>
      </c>
      <c r="R187" s="44">
        <v>0.35</v>
      </c>
      <c r="S187" s="44">
        <v>0.64</v>
      </c>
      <c r="T187" s="48">
        <f>0.231169320001883*(0.88)</f>
        <v>0.20342900160165706</v>
      </c>
    </row>
    <row r="188" spans="1:20" ht="48">
      <c r="A188" t="s">
        <v>692</v>
      </c>
      <c r="B188" s="1" t="s">
        <v>248</v>
      </c>
      <c r="C188" s="1" t="s">
        <v>188</v>
      </c>
      <c r="D188" s="1" t="s">
        <v>32</v>
      </c>
      <c r="E188"/>
      <c r="F188" s="1"/>
      <c r="G188" s="28">
        <v>9.4E-2</v>
      </c>
      <c r="I188" s="1"/>
      <c r="J188" s="1"/>
      <c r="L188" s="7" t="s">
        <v>492</v>
      </c>
      <c r="M188" s="8">
        <v>10</v>
      </c>
      <c r="N188" s="7" t="s">
        <v>443</v>
      </c>
      <c r="P188" s="1"/>
    </row>
    <row r="189" spans="1:20" ht="48">
      <c r="A189" t="s">
        <v>562</v>
      </c>
      <c r="B189" s="1" t="s">
        <v>249</v>
      </c>
      <c r="C189" s="1" t="s">
        <v>189</v>
      </c>
      <c r="D189" s="1" t="s">
        <v>32</v>
      </c>
      <c r="E189"/>
      <c r="F189" s="1"/>
      <c r="G189" s="28">
        <v>9.4E-2</v>
      </c>
      <c r="I189" s="1"/>
      <c r="J189" s="1"/>
      <c r="L189" s="5" t="s">
        <v>492</v>
      </c>
      <c r="M189" s="6">
        <v>10</v>
      </c>
      <c r="N189" s="5" t="s">
        <v>443</v>
      </c>
      <c r="P189" s="1"/>
    </row>
    <row r="190" spans="1:20" ht="32">
      <c r="A190" t="s">
        <v>563</v>
      </c>
      <c r="B190" s="1" t="s">
        <v>250</v>
      </c>
      <c r="C190" s="1" t="s">
        <v>107</v>
      </c>
      <c r="D190" s="1" t="s">
        <v>32</v>
      </c>
      <c r="E190"/>
      <c r="F190" s="1"/>
      <c r="G190" s="28">
        <v>9.4E-2</v>
      </c>
      <c r="I190" s="1"/>
      <c r="J190" s="1"/>
      <c r="L190" s="7" t="s">
        <v>492</v>
      </c>
      <c r="M190" s="8">
        <v>10</v>
      </c>
      <c r="N190" s="7" t="s">
        <v>443</v>
      </c>
      <c r="P190" s="1"/>
    </row>
    <row r="191" spans="1:20" s="89" customFormat="1" ht="80">
      <c r="A191" s="97" t="s">
        <v>626</v>
      </c>
      <c r="B191" s="98" t="s">
        <v>275</v>
      </c>
      <c r="C191" s="98" t="s">
        <v>129</v>
      </c>
      <c r="D191" s="90" t="s">
        <v>31</v>
      </c>
      <c r="E191" s="98" t="s">
        <v>752</v>
      </c>
      <c r="F191" s="91">
        <v>4393</v>
      </c>
      <c r="G191" s="92">
        <v>0.78435308805910964</v>
      </c>
      <c r="H191" s="93">
        <v>204721.3732486786</v>
      </c>
      <c r="I191" s="90">
        <v>0</v>
      </c>
      <c r="J191" s="90">
        <v>1</v>
      </c>
      <c r="L191" s="90" t="s">
        <v>431</v>
      </c>
      <c r="M191" s="99">
        <v>11</v>
      </c>
      <c r="N191" s="90" t="s">
        <v>451</v>
      </c>
      <c r="O191" s="89">
        <v>1</v>
      </c>
      <c r="P191" s="98" t="s">
        <v>799</v>
      </c>
      <c r="Q191" s="89">
        <v>7.2300000000000003E-2</v>
      </c>
      <c r="R191" s="89" t="s">
        <v>772</v>
      </c>
      <c r="S191" s="89" t="s">
        <v>772</v>
      </c>
      <c r="T191" s="96">
        <f>0.210614324578582*(0.88)</f>
        <v>0.18534060562915217</v>
      </c>
    </row>
    <row r="192" spans="1:20" ht="32">
      <c r="A192" s="62" t="s">
        <v>474</v>
      </c>
      <c r="B192" s="63" t="s">
        <v>396</v>
      </c>
      <c r="C192" s="63" t="s">
        <v>217</v>
      </c>
      <c r="D192" s="64" t="s">
        <v>116</v>
      </c>
      <c r="E192" s="63" t="s">
        <v>92</v>
      </c>
      <c r="F192" s="65">
        <v>5488</v>
      </c>
      <c r="G192" s="66">
        <v>19.359239841281244</v>
      </c>
      <c r="H192" s="73">
        <v>1108649.7</v>
      </c>
      <c r="I192" s="1">
        <v>3</v>
      </c>
      <c r="J192" s="1">
        <v>3</v>
      </c>
      <c r="K192">
        <v>1</v>
      </c>
      <c r="L192" s="5" t="s">
        <v>461</v>
      </c>
      <c r="M192" s="6">
        <v>1</v>
      </c>
      <c r="N192" s="5" t="s">
        <v>433</v>
      </c>
      <c r="O192" s="67">
        <v>1</v>
      </c>
      <c r="P192" s="63"/>
      <c r="Q192" s="67"/>
      <c r="R192" s="67"/>
      <c r="S192" s="67"/>
      <c r="T192" s="69">
        <f>0.253110379496502*(0.88)</f>
        <v>0.22273713395692177</v>
      </c>
    </row>
    <row r="193" spans="1:20" ht="48">
      <c r="A193" s="18" t="s">
        <v>455</v>
      </c>
      <c r="B193" s="17" t="s">
        <v>397</v>
      </c>
      <c r="C193" s="17" t="s">
        <v>212</v>
      </c>
      <c r="D193" s="5" t="s">
        <v>31</v>
      </c>
      <c r="E193" s="17" t="s">
        <v>743</v>
      </c>
      <c r="F193" s="16">
        <v>5968</v>
      </c>
      <c r="G193" s="29">
        <v>1.1496900605005875</v>
      </c>
      <c r="H193" s="11">
        <v>236084.24400000001</v>
      </c>
      <c r="I193" s="1">
        <v>1</v>
      </c>
      <c r="J193" s="1">
        <v>1</v>
      </c>
      <c r="L193" s="5" t="s">
        <v>436</v>
      </c>
      <c r="M193" s="6">
        <v>19</v>
      </c>
      <c r="N193" s="5" t="s">
        <v>451</v>
      </c>
      <c r="O193" s="4">
        <v>1</v>
      </c>
      <c r="Q193" s="4"/>
      <c r="R193" s="4"/>
      <c r="S193" s="4"/>
      <c r="T193" s="26">
        <f>0.924908816360775*(0.88)</f>
        <v>0.8139197583974821</v>
      </c>
    </row>
    <row r="194" spans="1:20" s="109" customFormat="1" ht="48">
      <c r="A194" s="103" t="s">
        <v>645</v>
      </c>
      <c r="B194" s="104" t="s">
        <v>340</v>
      </c>
      <c r="C194" s="104" t="s">
        <v>214</v>
      </c>
      <c r="D194" s="105" t="s">
        <v>31</v>
      </c>
      <c r="E194" s="104" t="s">
        <v>757</v>
      </c>
      <c r="F194" s="106">
        <v>11484</v>
      </c>
      <c r="G194" s="107">
        <v>21.299447386134773</v>
      </c>
      <c r="H194" s="108">
        <v>1534557.7389</v>
      </c>
      <c r="I194" s="105">
        <v>2</v>
      </c>
      <c r="J194" s="105">
        <v>1</v>
      </c>
      <c r="L194" s="105" t="s">
        <v>586</v>
      </c>
      <c r="M194" s="110" t="s">
        <v>585</v>
      </c>
      <c r="N194" s="105" t="s">
        <v>451</v>
      </c>
      <c r="O194" s="109">
        <v>1</v>
      </c>
      <c r="P194" s="104" t="s">
        <v>817</v>
      </c>
      <c r="Q194" s="109">
        <v>0.34</v>
      </c>
      <c r="R194" s="109" t="s">
        <v>772</v>
      </c>
      <c r="S194" s="109" t="s">
        <v>772</v>
      </c>
      <c r="T194" s="111">
        <f>0.212487306783715*(0.88)</f>
        <v>0.1869888299696692</v>
      </c>
    </row>
    <row r="195" spans="1:20" ht="64">
      <c r="A195" s="4" t="s">
        <v>495</v>
      </c>
      <c r="B195" s="5" t="s">
        <v>373</v>
      </c>
      <c r="C195" s="5" t="s">
        <v>237</v>
      </c>
      <c r="D195" s="5" t="s">
        <v>31</v>
      </c>
      <c r="E195" s="5" t="s">
        <v>85</v>
      </c>
      <c r="F195" s="5">
        <v>72799</v>
      </c>
      <c r="G195" s="29">
        <v>1.2581054540850005</v>
      </c>
      <c r="H195" s="31">
        <v>350384.81175685133</v>
      </c>
      <c r="I195" s="1">
        <v>2</v>
      </c>
      <c r="J195" s="1">
        <v>3</v>
      </c>
      <c r="L195" s="7" t="s">
        <v>496</v>
      </c>
      <c r="M195" s="6" t="s">
        <v>497</v>
      </c>
      <c r="N195" s="5" t="s">
        <v>443</v>
      </c>
      <c r="O195" s="4">
        <v>1</v>
      </c>
      <c r="P195" s="5"/>
      <c r="Q195" s="4"/>
      <c r="R195" s="4"/>
      <c r="S195" s="4"/>
      <c r="T195" s="26">
        <f>0.1*(0.88)</f>
        <v>8.8000000000000009E-2</v>
      </c>
    </row>
    <row r="196" spans="1:20" ht="48">
      <c r="A196" t="s">
        <v>620</v>
      </c>
      <c r="B196" s="1" t="s">
        <v>256</v>
      </c>
      <c r="C196" s="1" t="s">
        <v>81</v>
      </c>
      <c r="D196" s="1" t="s">
        <v>32</v>
      </c>
      <c r="E196"/>
      <c r="F196" s="1">
        <v>18</v>
      </c>
      <c r="G196" s="28">
        <v>1.1373682469786397</v>
      </c>
      <c r="I196" s="1">
        <v>1</v>
      </c>
      <c r="J196" s="1">
        <v>1</v>
      </c>
      <c r="K196">
        <v>1</v>
      </c>
      <c r="L196" s="5" t="s">
        <v>621</v>
      </c>
      <c r="M196" s="6" t="s">
        <v>622</v>
      </c>
      <c r="N196" s="5" t="s">
        <v>443</v>
      </c>
      <c r="P196" s="1" t="s">
        <v>805</v>
      </c>
      <c r="Q196">
        <v>-0.01</v>
      </c>
      <c r="R196">
        <v>-0.26</v>
      </c>
      <c r="S196">
        <v>0.24</v>
      </c>
    </row>
    <row r="197" spans="1:20" ht="64">
      <c r="A197" t="s">
        <v>555</v>
      </c>
      <c r="B197" s="1" t="s">
        <v>245</v>
      </c>
      <c r="C197" s="1" t="s">
        <v>105</v>
      </c>
      <c r="D197" s="1" t="s">
        <v>32</v>
      </c>
      <c r="E197"/>
      <c r="F197" s="1"/>
      <c r="G197" s="28">
        <v>9.4E-2</v>
      </c>
      <c r="I197" s="1"/>
      <c r="J197" s="1"/>
      <c r="L197" s="5" t="s">
        <v>492</v>
      </c>
      <c r="M197" s="6">
        <v>10</v>
      </c>
      <c r="N197" s="5" t="s">
        <v>443</v>
      </c>
      <c r="P197" s="1"/>
    </row>
    <row r="198" spans="1:20" ht="48">
      <c r="A198" t="s">
        <v>686</v>
      </c>
      <c r="B198" s="1" t="s">
        <v>246</v>
      </c>
      <c r="C198" s="1" t="s">
        <v>106</v>
      </c>
      <c r="D198" s="1" t="s">
        <v>32</v>
      </c>
      <c r="E198"/>
      <c r="F198" s="1"/>
      <c r="G198" s="28">
        <v>9.4E-2</v>
      </c>
      <c r="I198" s="1"/>
      <c r="J198" s="1"/>
      <c r="L198" s="5" t="s">
        <v>492</v>
      </c>
      <c r="M198" s="6">
        <v>10</v>
      </c>
      <c r="N198" s="5" t="s">
        <v>443</v>
      </c>
      <c r="P198" s="1"/>
    </row>
    <row r="199" spans="1:20" ht="32">
      <c r="A199" t="s">
        <v>491</v>
      </c>
      <c r="B199" s="1" t="s">
        <v>247</v>
      </c>
      <c r="C199" s="1" t="s">
        <v>187</v>
      </c>
      <c r="D199" s="1" t="s">
        <v>32</v>
      </c>
      <c r="E199"/>
      <c r="F199" s="1"/>
      <c r="G199" s="28">
        <v>9.4E-2</v>
      </c>
      <c r="I199" s="1"/>
      <c r="J199" s="1"/>
      <c r="L199" s="5" t="s">
        <v>492</v>
      </c>
      <c r="M199" s="6">
        <v>10</v>
      </c>
      <c r="N199" s="5" t="s">
        <v>443</v>
      </c>
      <c r="P199" s="1"/>
    </row>
    <row r="200" spans="1:20" ht="32">
      <c r="A200" t="s">
        <v>531</v>
      </c>
      <c r="B200" s="1" t="s">
        <v>21</v>
      </c>
      <c r="C200" s="1" t="s">
        <v>21</v>
      </c>
      <c r="D200" s="1" t="s">
        <v>29</v>
      </c>
      <c r="E200"/>
      <c r="F200" s="1">
        <v>237</v>
      </c>
      <c r="G200" s="28">
        <v>80.319051204101015</v>
      </c>
      <c r="I200" s="1">
        <v>6</v>
      </c>
      <c r="J200" s="1">
        <v>3</v>
      </c>
      <c r="L200" s="5" t="s">
        <v>461</v>
      </c>
      <c r="M200" s="6">
        <v>1</v>
      </c>
      <c r="N200" s="5" t="s">
        <v>433</v>
      </c>
      <c r="P200" s="21" t="s">
        <v>770</v>
      </c>
      <c r="Q200">
        <v>0.1</v>
      </c>
      <c r="R200" t="s">
        <v>772</v>
      </c>
      <c r="S200" t="s">
        <v>772</v>
      </c>
    </row>
    <row r="201" spans="1:20" ht="48">
      <c r="A201" t="s">
        <v>512</v>
      </c>
      <c r="B201" s="1" t="s">
        <v>349</v>
      </c>
      <c r="C201" s="1" t="s">
        <v>229</v>
      </c>
      <c r="D201" s="1" t="s">
        <v>29</v>
      </c>
      <c r="E201"/>
      <c r="F201" s="1"/>
      <c r="G201" s="28">
        <v>100.79047705176647</v>
      </c>
      <c r="I201" s="1">
        <v>4</v>
      </c>
      <c r="J201" s="1">
        <v>1</v>
      </c>
      <c r="K201">
        <v>1</v>
      </c>
      <c r="L201" s="5" t="s">
        <v>513</v>
      </c>
      <c r="M201" s="6">
        <v>14</v>
      </c>
      <c r="N201" s="5" t="s">
        <v>443</v>
      </c>
      <c r="P201" s="1"/>
    </row>
    <row r="202" spans="1:20" ht="32">
      <c r="A202" t="s">
        <v>726</v>
      </c>
      <c r="B202" s="1" t="s">
        <v>348</v>
      </c>
      <c r="C202" s="1" t="s">
        <v>234</v>
      </c>
      <c r="D202" s="1" t="s">
        <v>29</v>
      </c>
      <c r="E202"/>
      <c r="F202" s="1"/>
      <c r="G202" s="28">
        <v>100.79047705176647</v>
      </c>
      <c r="I202" s="1">
        <v>5</v>
      </c>
      <c r="J202" s="1">
        <v>1</v>
      </c>
      <c r="K202">
        <v>1</v>
      </c>
      <c r="L202" s="5" t="s">
        <v>513</v>
      </c>
      <c r="M202" s="6">
        <v>14</v>
      </c>
      <c r="N202" s="5" t="s">
        <v>433</v>
      </c>
      <c r="P202" s="1" t="s">
        <v>786</v>
      </c>
      <c r="Q202">
        <v>0.17</v>
      </c>
      <c r="R202">
        <v>0.09</v>
      </c>
      <c r="S202">
        <v>0.32</v>
      </c>
    </row>
    <row r="203" spans="1:20" ht="32">
      <c r="A203" t="s">
        <v>654</v>
      </c>
      <c r="B203" s="1" t="s">
        <v>111</v>
      </c>
      <c r="C203" s="1" t="s">
        <v>111</v>
      </c>
      <c r="D203" s="1" t="s">
        <v>29</v>
      </c>
      <c r="E203"/>
      <c r="F203" s="1">
        <v>31.18</v>
      </c>
      <c r="G203" s="28">
        <v>200</v>
      </c>
      <c r="I203" s="1">
        <v>4</v>
      </c>
      <c r="J203" s="1">
        <v>1</v>
      </c>
      <c r="K203">
        <v>1</v>
      </c>
      <c r="L203" s="5" t="s">
        <v>655</v>
      </c>
      <c r="M203" s="6" t="s">
        <v>656</v>
      </c>
      <c r="N203" s="5" t="s">
        <v>443</v>
      </c>
      <c r="P203" s="1" t="s">
        <v>806</v>
      </c>
      <c r="Q203">
        <v>4.4000000000000004</v>
      </c>
      <c r="R203">
        <v>0.24</v>
      </c>
      <c r="S203">
        <v>8.56</v>
      </c>
    </row>
    <row r="204" spans="1:20" ht="64">
      <c r="A204" t="s">
        <v>657</v>
      </c>
      <c r="B204" s="1" t="s">
        <v>18</v>
      </c>
      <c r="C204" s="1" t="s">
        <v>18</v>
      </c>
      <c r="D204" s="1" t="s">
        <v>29</v>
      </c>
      <c r="E204"/>
      <c r="F204" s="1">
        <v>10</v>
      </c>
      <c r="G204" s="28">
        <v>200</v>
      </c>
      <c r="I204" s="1">
        <v>4</v>
      </c>
      <c r="J204" s="1">
        <v>3</v>
      </c>
      <c r="L204" s="5" t="s">
        <v>655</v>
      </c>
      <c r="M204" s="6" t="s">
        <v>656</v>
      </c>
      <c r="N204" s="5" t="s">
        <v>443</v>
      </c>
      <c r="P204" s="1" t="s">
        <v>807</v>
      </c>
      <c r="Q204">
        <v>0.66666666666666663</v>
      </c>
      <c r="R204" t="s">
        <v>772</v>
      </c>
      <c r="S204" t="s">
        <v>772</v>
      </c>
    </row>
    <row r="205" spans="1:20" ht="48">
      <c r="A205" t="s">
        <v>478</v>
      </c>
      <c r="B205" s="1" t="s">
        <v>347</v>
      </c>
      <c r="C205" s="1" t="s">
        <v>19</v>
      </c>
      <c r="D205" s="1" t="s">
        <v>29</v>
      </c>
      <c r="E205"/>
      <c r="F205" s="1">
        <v>20.49</v>
      </c>
      <c r="G205" s="28">
        <v>200</v>
      </c>
      <c r="I205" s="1">
        <v>3</v>
      </c>
      <c r="J205" s="1">
        <v>1</v>
      </c>
      <c r="K205">
        <v>1</v>
      </c>
      <c r="L205" s="5" t="s">
        <v>447</v>
      </c>
      <c r="M205" s="6">
        <v>18</v>
      </c>
      <c r="N205" s="5" t="s">
        <v>443</v>
      </c>
      <c r="P205" s="1" t="s">
        <v>808</v>
      </c>
      <c r="Q205">
        <v>0.95499999999999996</v>
      </c>
      <c r="R205">
        <v>0.95099999999999996</v>
      </c>
      <c r="S205">
        <v>0.95899999999999996</v>
      </c>
    </row>
    <row r="206" spans="1:20" ht="32">
      <c r="A206" t="s">
        <v>653</v>
      </c>
      <c r="B206" s="1" t="s">
        <v>337</v>
      </c>
      <c r="C206" s="1" t="s">
        <v>17</v>
      </c>
      <c r="D206" s="1" t="s">
        <v>29</v>
      </c>
      <c r="E206"/>
      <c r="F206" s="1"/>
      <c r="G206" s="28">
        <v>200</v>
      </c>
      <c r="I206" s="1">
        <v>4</v>
      </c>
      <c r="J206" s="1">
        <v>3</v>
      </c>
      <c r="L206" s="5" t="s">
        <v>447</v>
      </c>
      <c r="M206" s="6">
        <v>18</v>
      </c>
      <c r="N206" s="5" t="s">
        <v>443</v>
      </c>
      <c r="P206" s="1" t="s">
        <v>809</v>
      </c>
    </row>
    <row r="207" spans="1:20" ht="32">
      <c r="A207" t="s">
        <v>658</v>
      </c>
      <c r="B207" s="1" t="s">
        <v>112</v>
      </c>
      <c r="C207" s="1" t="s">
        <v>112</v>
      </c>
      <c r="D207" s="1" t="s">
        <v>29</v>
      </c>
      <c r="E207"/>
      <c r="F207" s="1"/>
      <c r="G207" s="28">
        <v>200</v>
      </c>
      <c r="I207" s="1">
        <v>5</v>
      </c>
      <c r="J207" s="1">
        <v>1</v>
      </c>
      <c r="K207">
        <v>1</v>
      </c>
      <c r="L207" s="7" t="s">
        <v>447</v>
      </c>
      <c r="M207" s="8">
        <v>18</v>
      </c>
      <c r="N207" s="7" t="s">
        <v>443</v>
      </c>
      <c r="P207" s="1" t="s">
        <v>810</v>
      </c>
      <c r="Q207">
        <v>0.22099999999999997</v>
      </c>
    </row>
    <row r="208" spans="1:20" ht="32">
      <c r="A208" t="s">
        <v>568</v>
      </c>
      <c r="B208" s="1" t="s">
        <v>230</v>
      </c>
      <c r="C208" s="1" t="s">
        <v>230</v>
      </c>
      <c r="D208" s="1" t="s">
        <v>29</v>
      </c>
      <c r="E208"/>
      <c r="F208" s="1">
        <v>124.38</v>
      </c>
      <c r="G208" s="28">
        <v>200</v>
      </c>
      <c r="I208" s="1">
        <v>4</v>
      </c>
      <c r="J208" s="1">
        <v>3</v>
      </c>
      <c r="L208" s="5" t="s">
        <v>447</v>
      </c>
      <c r="M208" s="6">
        <v>18</v>
      </c>
      <c r="N208" s="5" t="s">
        <v>443</v>
      </c>
      <c r="P208" s="1"/>
    </row>
    <row r="209" spans="1:20" ht="32">
      <c r="A209" t="s">
        <v>695</v>
      </c>
      <c r="B209" s="1" t="s">
        <v>159</v>
      </c>
      <c r="C209" s="1" t="s">
        <v>159</v>
      </c>
      <c r="D209" s="1" t="s">
        <v>29</v>
      </c>
      <c r="E209"/>
      <c r="F209" s="1">
        <v>42.73</v>
      </c>
      <c r="G209" s="28">
        <v>200</v>
      </c>
      <c r="I209" s="1">
        <v>3</v>
      </c>
      <c r="J209" s="1">
        <v>1</v>
      </c>
      <c r="K209">
        <v>1</v>
      </c>
      <c r="L209" s="5" t="s">
        <v>447</v>
      </c>
      <c r="M209" s="6">
        <v>18</v>
      </c>
      <c r="N209" s="5" t="s">
        <v>443</v>
      </c>
      <c r="P209" s="1" t="s">
        <v>811</v>
      </c>
      <c r="Q209">
        <v>0.28999999999999998</v>
      </c>
      <c r="R209">
        <v>0.16</v>
      </c>
      <c r="S209">
        <v>0.5</v>
      </c>
    </row>
    <row r="210" spans="1:20" ht="32">
      <c r="A210" t="s">
        <v>649</v>
      </c>
      <c r="B210" s="1" t="s">
        <v>46</v>
      </c>
      <c r="C210" s="1" t="s">
        <v>46</v>
      </c>
      <c r="D210" s="1" t="s">
        <v>29</v>
      </c>
      <c r="E210"/>
      <c r="F210" s="1"/>
      <c r="G210" s="28">
        <v>3.1737215953354062E-2</v>
      </c>
      <c r="I210" s="1"/>
      <c r="J210" s="1"/>
      <c r="L210" s="5" t="s">
        <v>529</v>
      </c>
      <c r="M210" s="6">
        <v>21</v>
      </c>
      <c r="N210" s="5" t="s">
        <v>443</v>
      </c>
      <c r="P210" s="1"/>
    </row>
    <row r="211" spans="1:20" ht="32">
      <c r="A211" s="4" t="s">
        <v>473</v>
      </c>
      <c r="B211" s="5" t="s">
        <v>380</v>
      </c>
      <c r="C211" s="5" t="s">
        <v>172</v>
      </c>
      <c r="D211" s="5" t="s">
        <v>116</v>
      </c>
      <c r="E211" s="17" t="s">
        <v>760</v>
      </c>
      <c r="F211" s="5">
        <v>72799</v>
      </c>
      <c r="G211" s="29">
        <v>0.78435308805910964</v>
      </c>
      <c r="H211" s="31">
        <v>111666.20359018834</v>
      </c>
      <c r="I211" s="1">
        <v>1</v>
      </c>
      <c r="J211" s="1">
        <v>1</v>
      </c>
      <c r="L211" s="5" t="s">
        <v>461</v>
      </c>
      <c r="M211" s="6">
        <v>1</v>
      </c>
      <c r="N211" s="5" t="s">
        <v>451</v>
      </c>
      <c r="O211" s="4">
        <v>1</v>
      </c>
      <c r="Q211" s="4"/>
      <c r="R211" s="4"/>
      <c r="S211" s="4"/>
      <c r="T211" s="26">
        <f>0.210614324578582*(0.88)</f>
        <v>0.18534060562915217</v>
      </c>
    </row>
    <row r="212" spans="1:20" ht="32">
      <c r="A212" t="s">
        <v>688</v>
      </c>
      <c r="B212" s="1" t="s">
        <v>47</v>
      </c>
      <c r="C212" s="1" t="s">
        <v>47</v>
      </c>
      <c r="D212" s="1" t="s">
        <v>29</v>
      </c>
      <c r="E212"/>
      <c r="F212" s="1"/>
      <c r="G212" s="28">
        <v>3.1737215953354062E-2</v>
      </c>
      <c r="I212" s="1"/>
      <c r="J212" s="1"/>
      <c r="L212" s="5" t="s">
        <v>529</v>
      </c>
      <c r="M212" s="6">
        <v>21</v>
      </c>
      <c r="N212" s="5" t="s">
        <v>443</v>
      </c>
      <c r="P212" s="1"/>
    </row>
    <row r="213" spans="1:20" ht="32">
      <c r="A213" t="s">
        <v>650</v>
      </c>
      <c r="B213" s="1" t="s">
        <v>420</v>
      </c>
      <c r="C213" s="1" t="s">
        <v>41</v>
      </c>
      <c r="D213" s="1" t="s">
        <v>29</v>
      </c>
      <c r="E213"/>
      <c r="F213" s="1"/>
      <c r="G213" s="28"/>
      <c r="I213" s="1"/>
      <c r="J213" s="1">
        <v>2</v>
      </c>
      <c r="K213">
        <v>1</v>
      </c>
      <c r="L213" s="5" t="s">
        <v>477</v>
      </c>
      <c r="M213" s="6">
        <v>8</v>
      </c>
      <c r="N213" s="5" t="s">
        <v>433</v>
      </c>
      <c r="P213" s="1"/>
    </row>
    <row r="214" spans="1:20" ht="48">
      <c r="A214" t="s">
        <v>439</v>
      </c>
      <c r="B214" s="1" t="s">
        <v>419</v>
      </c>
      <c r="C214" s="1" t="s">
        <v>103</v>
      </c>
      <c r="D214" s="1" t="s">
        <v>29</v>
      </c>
      <c r="E214"/>
      <c r="F214" s="1"/>
      <c r="G214" s="28">
        <v>217.8898459511226</v>
      </c>
      <c r="I214" s="1">
        <v>4</v>
      </c>
      <c r="J214" s="1">
        <v>1</v>
      </c>
      <c r="L214" s="7" t="s">
        <v>431</v>
      </c>
      <c r="M214" s="8">
        <v>11</v>
      </c>
      <c r="N214" s="7" t="s">
        <v>433</v>
      </c>
      <c r="P214" s="1" t="s">
        <v>812</v>
      </c>
      <c r="Q214">
        <v>0.66</v>
      </c>
      <c r="R214">
        <v>0.48</v>
      </c>
      <c r="S214">
        <v>0.89</v>
      </c>
    </row>
    <row r="215" spans="1:20" ht="32">
      <c r="A215" t="s">
        <v>662</v>
      </c>
      <c r="B215" s="1" t="s">
        <v>335</v>
      </c>
      <c r="C215" s="1" t="s">
        <v>28</v>
      </c>
      <c r="D215" s="1" t="s">
        <v>29</v>
      </c>
      <c r="E215"/>
      <c r="F215" s="1">
        <v>630.6</v>
      </c>
      <c r="G215" s="28">
        <v>12.527234689481087</v>
      </c>
      <c r="I215" s="1">
        <v>1</v>
      </c>
      <c r="J215" s="1">
        <v>1</v>
      </c>
      <c r="L215" s="5" t="s">
        <v>431</v>
      </c>
      <c r="M215" s="6">
        <v>11</v>
      </c>
      <c r="N215" s="5" t="s">
        <v>451</v>
      </c>
      <c r="P215" s="1" t="s">
        <v>813</v>
      </c>
      <c r="Q215">
        <v>1.75</v>
      </c>
      <c r="R215">
        <v>1.08</v>
      </c>
      <c r="S215">
        <v>2.84</v>
      </c>
    </row>
    <row r="216" spans="1:20" ht="32">
      <c r="A216" t="s">
        <v>628</v>
      </c>
      <c r="B216" s="1" t="s">
        <v>336</v>
      </c>
      <c r="C216" s="1" t="s">
        <v>102</v>
      </c>
      <c r="D216" s="1" t="s">
        <v>29</v>
      </c>
      <c r="E216"/>
      <c r="F216" s="1">
        <v>530</v>
      </c>
      <c r="G216" s="28"/>
      <c r="I216" s="1"/>
      <c r="J216" s="1">
        <v>1</v>
      </c>
      <c r="L216" s="5" t="s">
        <v>431</v>
      </c>
      <c r="M216" s="6">
        <v>11</v>
      </c>
      <c r="N216" s="5" t="s">
        <v>433</v>
      </c>
      <c r="P216" s="1" t="s">
        <v>814</v>
      </c>
      <c r="Q216">
        <v>0.94</v>
      </c>
      <c r="R216">
        <v>0.72</v>
      </c>
      <c r="S216">
        <v>1.24</v>
      </c>
    </row>
    <row r="217" spans="1:20" ht="64">
      <c r="A217" t="s">
        <v>718</v>
      </c>
      <c r="B217" s="1" t="s">
        <v>294</v>
      </c>
      <c r="C217" s="1" t="s">
        <v>231</v>
      </c>
      <c r="D217" s="1" t="s">
        <v>29</v>
      </c>
      <c r="E217"/>
      <c r="F217" s="1">
        <v>230</v>
      </c>
      <c r="G217" s="28">
        <v>129.854341510739</v>
      </c>
      <c r="I217" s="1">
        <v>4</v>
      </c>
      <c r="J217" s="1">
        <v>1</v>
      </c>
      <c r="K217">
        <v>1</v>
      </c>
      <c r="L217" s="5" t="s">
        <v>719</v>
      </c>
      <c r="M217" s="6">
        <v>12</v>
      </c>
      <c r="N217" s="5" t="s">
        <v>451</v>
      </c>
      <c r="P217" s="1"/>
    </row>
    <row r="218" spans="1:20" ht="64">
      <c r="A218" t="s">
        <v>720</v>
      </c>
      <c r="B218" s="1" t="s">
        <v>295</v>
      </c>
      <c r="C218" s="1" t="s">
        <v>232</v>
      </c>
      <c r="D218" s="1" t="s">
        <v>29</v>
      </c>
      <c r="E218"/>
      <c r="F218" s="1">
        <v>427</v>
      </c>
      <c r="G218" s="28">
        <v>688.50801270442935</v>
      </c>
      <c r="I218" s="1">
        <v>5</v>
      </c>
      <c r="J218" s="1">
        <v>1</v>
      </c>
      <c r="K218">
        <v>1</v>
      </c>
      <c r="L218" s="5" t="s">
        <v>719</v>
      </c>
      <c r="M218" s="6">
        <v>12</v>
      </c>
      <c r="N218" s="5" t="s">
        <v>451</v>
      </c>
      <c r="P218" s="1" t="s">
        <v>815</v>
      </c>
      <c r="Q218">
        <v>0.39</v>
      </c>
      <c r="R218">
        <v>0.27</v>
      </c>
      <c r="S218">
        <v>0.57999999999999996</v>
      </c>
    </row>
    <row r="219" spans="1:20" ht="64">
      <c r="A219" t="s">
        <v>721</v>
      </c>
      <c r="B219" s="1" t="s">
        <v>296</v>
      </c>
      <c r="C219" s="1" t="s">
        <v>233</v>
      </c>
      <c r="D219" s="1" t="s">
        <v>29</v>
      </c>
      <c r="E219"/>
      <c r="F219" s="1">
        <v>1539</v>
      </c>
      <c r="G219" s="28">
        <v>2459.96135682262</v>
      </c>
      <c r="I219" s="1">
        <v>5</v>
      </c>
      <c r="J219" s="1">
        <v>3</v>
      </c>
      <c r="K219">
        <v>1</v>
      </c>
      <c r="L219" s="5" t="s">
        <v>719</v>
      </c>
      <c r="M219" s="6">
        <v>12</v>
      </c>
      <c r="N219" s="5" t="s">
        <v>451</v>
      </c>
      <c r="P219" s="1"/>
    </row>
    <row r="220" spans="1:20" ht="32">
      <c r="A220" s="18"/>
      <c r="B220" s="37" t="s">
        <v>734</v>
      </c>
      <c r="C220" s="37" t="s">
        <v>735</v>
      </c>
      <c r="D220" s="4"/>
      <c r="F220" s="31"/>
      <c r="G220" s="38"/>
      <c r="H220" s="31">
        <v>16621137.40302965</v>
      </c>
      <c r="I220" s="3"/>
      <c r="J220" s="3"/>
      <c r="K220" s="3"/>
      <c r="L220" s="2"/>
      <c r="M220" s="13"/>
      <c r="N220" s="2"/>
      <c r="O220" s="4">
        <v>1</v>
      </c>
      <c r="Q220" s="4"/>
      <c r="R220" s="4"/>
      <c r="S220" s="4"/>
      <c r="T2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Selected interventions</vt:lpstr>
      <vt:lpstr>Clean with new spending</vt:lpstr>
      <vt:lpstr>BOD</vt:lpstr>
      <vt:lpstr>Sheet2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Haghparast-Bidgoli, Hassan</cp:lastModifiedBy>
  <cp:lastPrinted>2017-06-07T16:15:30Z</cp:lastPrinted>
  <dcterms:created xsi:type="dcterms:W3CDTF">2016-06-09T18:22:12Z</dcterms:created>
  <dcterms:modified xsi:type="dcterms:W3CDTF">2018-09-18T23:42:16Z</dcterms:modified>
</cp:coreProperties>
</file>