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ero\planeur\"/>
    </mc:Choice>
  </mc:AlternateContent>
  <xr:revisionPtr revIDLastSave="0" documentId="13_ncr:1_{99766FFF-C9AB-458A-8BC0-B09DBA02C3E2}" xr6:coauthVersionLast="46" xr6:coauthVersionMax="46" xr10:uidLastSave="{00000000-0000-0000-0000-000000000000}"/>
  <bookViews>
    <workbookView xWindow="850" yWindow="-110" windowWidth="18460" windowHeight="11020" xr2:uid="{18F0905A-15E0-4C56-A5C8-2EA23246D1F2}"/>
  </bookViews>
  <sheets>
    <sheet name="Cambridge" sheetId="1" r:id="rId1"/>
    <sheet name="Reichmann" sheetId="2" r:id="rId2"/>
    <sheet name="Naviter" sheetId="3" r:id="rId3"/>
    <sheet name="Régression deg 2" sheetId="4" r:id="rId4"/>
    <sheet name="Régression deg 4" sheetId="5" r:id="rId5"/>
  </sheets>
  <externalReferences>
    <externalReference r:id="rId6"/>
  </externalReferences>
  <definedNames>
    <definedName name="_c0_d2" localSheetId="4">'[1]Régression deg 2'!$J$21</definedName>
    <definedName name="_c0_d2">'Régression deg 2'!$J$21</definedName>
    <definedName name="_c1_d2" localSheetId="4">'[1]Régression deg 2'!$I$21</definedName>
    <definedName name="_c1_d2">'Régression deg 2'!$I$21</definedName>
    <definedName name="_c2_d2" localSheetId="4">'[1]Régression deg 2'!$H$21</definedName>
    <definedName name="_c2_d2">'Régression deg 2'!$H$21</definedName>
    <definedName name="a_pC">Cambridge!$J$2</definedName>
    <definedName name="a_pN">Naviter!$D$2</definedName>
    <definedName name="a_pR">Reichmann!$J$2</definedName>
    <definedName name="b_pC">Cambridge!$J$3</definedName>
    <definedName name="b_pN">Naviter!$D$3</definedName>
    <definedName name="b_pR">Reichmann!$J$3</definedName>
    <definedName name="c_pC">Cambridge!$J$4</definedName>
    <definedName name="c_pN">Naviter!$D$4</definedName>
    <definedName name="c_pR">Reichmann!$J$4</definedName>
    <definedName name="DELTA2_pN">Naviter!$J$17</definedName>
    <definedName name="DELTA2_pR">Reichmann!$J$17</definedName>
    <definedName name="GR1_pC">Cambridge!$D$2</definedName>
    <definedName name="GR1_pN">Naviter!$J$11</definedName>
    <definedName name="GR1_pR">Reichmann!$J$11</definedName>
    <definedName name="k_pC">Cambridge!$D$6</definedName>
    <definedName name="k_pN">Naviter!$J$16</definedName>
    <definedName name="k_pR">Reichmann!$J$16</definedName>
    <definedName name="V0_pC">Cambridge!$J$24</definedName>
    <definedName name="V0_pN">Naviter!$J$26</definedName>
    <definedName name="V0_pR">Reichmann!$J$26</definedName>
    <definedName name="V1_pC">Cambridge!$D$3</definedName>
    <definedName name="V1_pNC">Naviter!$J$12</definedName>
    <definedName name="V1_pR">Reichmann!$D$2</definedName>
    <definedName name="V1_pRC">Reichmann!$J$12</definedName>
    <definedName name="V2_pC">Cambridge!$D$4</definedName>
    <definedName name="V2_pR">Reichmann!$D$4</definedName>
    <definedName name="V3_pR">Reichmann!$D$6</definedName>
    <definedName name="W1_pC">Cambridge!$D$7</definedName>
    <definedName name="W1_pNC">Naviter!$J$15</definedName>
    <definedName name="W1_pR">Reichmann!$D$3</definedName>
    <definedName name="W1_pRC">Reichmann!$J$15</definedName>
    <definedName name="W2_pC">Cambridge!$D$5</definedName>
    <definedName name="W2_pNC">Naviter!$J$14</definedName>
    <definedName name="W2_pR">Reichmann!$D$5</definedName>
    <definedName name="W2_pRC">Reichmann!$J$14</definedName>
    <definedName name="W3_pR">Reichmann!$D$7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5" l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H14" i="5"/>
  <c r="G14" i="5"/>
  <c r="F14" i="5"/>
  <c r="E14" i="5"/>
  <c r="D14" i="5"/>
  <c r="H13" i="5"/>
  <c r="G13" i="5"/>
  <c r="F13" i="5"/>
  <c r="E13" i="5"/>
  <c r="D13" i="5"/>
  <c r="H12" i="5"/>
  <c r="G12" i="5"/>
  <c r="F12" i="5"/>
  <c r="E12" i="5"/>
  <c r="D12" i="5"/>
  <c r="H11" i="5"/>
  <c r="G11" i="5"/>
  <c r="F11" i="5"/>
  <c r="E11" i="5"/>
  <c r="D11" i="5"/>
  <c r="H10" i="5"/>
  <c r="G10" i="5"/>
  <c r="F10" i="5"/>
  <c r="E10" i="5"/>
  <c r="D10" i="5"/>
  <c r="H9" i="5"/>
  <c r="G9" i="5"/>
  <c r="F9" i="5"/>
  <c r="E9" i="5"/>
  <c r="D9" i="5"/>
  <c r="H8" i="5"/>
  <c r="G8" i="5"/>
  <c r="F8" i="5"/>
  <c r="E8" i="5"/>
  <c r="D8" i="5"/>
  <c r="H7" i="5"/>
  <c r="G7" i="5"/>
  <c r="F7" i="5"/>
  <c r="E7" i="5"/>
  <c r="D7" i="5"/>
  <c r="H6" i="5"/>
  <c r="G6" i="5"/>
  <c r="F6" i="5"/>
  <c r="E6" i="5"/>
  <c r="D6" i="5"/>
  <c r="H5" i="5"/>
  <c r="G5" i="5"/>
  <c r="F5" i="5"/>
  <c r="E5" i="5"/>
  <c r="D5" i="5"/>
  <c r="H4" i="5"/>
  <c r="G4" i="5"/>
  <c r="F4" i="5"/>
  <c r="E4" i="5"/>
  <c r="D4" i="5"/>
  <c r="H3" i="5"/>
  <c r="G3" i="5"/>
  <c r="F3" i="5"/>
  <c r="E3" i="5"/>
  <c r="D3" i="5"/>
  <c r="H2" i="5"/>
  <c r="G2" i="5"/>
  <c r="F2" i="5"/>
  <c r="E2" i="5"/>
  <c r="J21" i="5" s="1" a="1"/>
  <c r="D2" i="5"/>
  <c r="H25" i="4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21" i="4" a="1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4" i="4"/>
  <c r="E4" i="4"/>
  <c r="D4" i="4"/>
  <c r="F3" i="4"/>
  <c r="E3" i="4"/>
  <c r="D3" i="4"/>
  <c r="F2" i="4"/>
  <c r="E2" i="4"/>
  <c r="D2" i="4"/>
  <c r="K66" i="5" l="1"/>
  <c r="K58" i="5"/>
  <c r="K50" i="5"/>
  <c r="K42" i="5"/>
  <c r="K34" i="5"/>
  <c r="K26" i="5"/>
  <c r="J21" i="5"/>
  <c r="K72" i="5" s="1"/>
  <c r="K71" i="5"/>
  <c r="K69" i="5"/>
  <c r="K65" i="5"/>
  <c r="K63" i="5"/>
  <c r="K61" i="5"/>
  <c r="K57" i="5"/>
  <c r="K55" i="5"/>
  <c r="K53" i="5"/>
  <c r="K49" i="5"/>
  <c r="K47" i="5"/>
  <c r="K45" i="5"/>
  <c r="K41" i="5"/>
  <c r="K39" i="5"/>
  <c r="K37" i="5"/>
  <c r="K35" i="5"/>
  <c r="K33" i="5"/>
  <c r="K31" i="5"/>
  <c r="K29" i="5"/>
  <c r="K27" i="5"/>
  <c r="K25" i="5"/>
  <c r="I27" i="4"/>
  <c r="I31" i="4"/>
  <c r="I37" i="4"/>
  <c r="I39" i="4"/>
  <c r="I45" i="4"/>
  <c r="I47" i="4"/>
  <c r="I53" i="4"/>
  <c r="I55" i="4"/>
  <c r="I61" i="4"/>
  <c r="I63" i="4"/>
  <c r="I69" i="4"/>
  <c r="I71" i="4"/>
  <c r="H21" i="4"/>
  <c r="I72" i="4" s="1"/>
  <c r="I24" i="4"/>
  <c r="I26" i="4"/>
  <c r="I28" i="4"/>
  <c r="I32" i="4"/>
  <c r="I34" i="4"/>
  <c r="I36" i="4"/>
  <c r="I40" i="4"/>
  <c r="I42" i="4"/>
  <c r="I44" i="4"/>
  <c r="I48" i="4"/>
  <c r="I50" i="4"/>
  <c r="I52" i="4"/>
  <c r="I56" i="4"/>
  <c r="I58" i="4"/>
  <c r="I60" i="4"/>
  <c r="I64" i="4"/>
  <c r="I66" i="4"/>
  <c r="I68" i="4"/>
  <c r="K28" i="5" l="1"/>
  <c r="K36" i="5"/>
  <c r="K44" i="5"/>
  <c r="K52" i="5"/>
  <c r="K60" i="5"/>
  <c r="K68" i="5"/>
  <c r="K30" i="5"/>
  <c r="K38" i="5"/>
  <c r="K46" i="5"/>
  <c r="K54" i="5"/>
  <c r="K62" i="5"/>
  <c r="K70" i="5"/>
  <c r="K43" i="5"/>
  <c r="K51" i="5"/>
  <c r="K59" i="5"/>
  <c r="K67" i="5"/>
  <c r="K24" i="5"/>
  <c r="K32" i="5"/>
  <c r="K40" i="5"/>
  <c r="K48" i="5"/>
  <c r="K56" i="5"/>
  <c r="K64" i="5"/>
  <c r="I70" i="4"/>
  <c r="I62" i="4"/>
  <c r="I54" i="4"/>
  <c r="I46" i="4"/>
  <c r="I38" i="4"/>
  <c r="I30" i="4"/>
  <c r="I29" i="4"/>
  <c r="I67" i="4"/>
  <c r="I59" i="4"/>
  <c r="I51" i="4"/>
  <c r="I43" i="4"/>
  <c r="I35" i="4"/>
  <c r="I25" i="4"/>
  <c r="I65" i="4"/>
  <c r="I57" i="4"/>
  <c r="I49" i="4"/>
  <c r="I41" i="4"/>
  <c r="I33" i="4"/>
  <c r="J26" i="3" l="1"/>
  <c r="J25" i="3" s="1" a="1"/>
  <c r="J25" i="3" s="1"/>
  <c r="J21" i="1"/>
  <c r="J20" i="1"/>
  <c r="J17" i="3" a="1"/>
  <c r="J17" i="3" s="1"/>
  <c r="J13" i="3" s="1"/>
  <c r="Q4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3" i="1"/>
  <c r="J16" i="3"/>
  <c r="J12" i="3" s="1"/>
  <c r="J23" i="3" s="1"/>
  <c r="J7" i="3"/>
  <c r="J5" i="3"/>
  <c r="J3" i="3"/>
  <c r="T4" i="2"/>
  <c r="T3" i="2"/>
  <c r="T2" i="2"/>
  <c r="Q4" i="2"/>
  <c r="P4" i="2"/>
  <c r="Q3" i="2"/>
  <c r="P3" i="2"/>
  <c r="Q2" i="2"/>
  <c r="P2" i="2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D7" i="1"/>
  <c r="D6" i="1"/>
  <c r="J2" i="1" s="1"/>
  <c r="O7" i="1" l="1"/>
  <c r="O3" i="1"/>
  <c r="O26" i="1"/>
  <c r="O2" i="1"/>
  <c r="O19" i="1"/>
  <c r="J15" i="3"/>
  <c r="J11" i="3" s="1"/>
  <c r="J22" i="3" s="1" a="1"/>
  <c r="J22" i="3" s="1"/>
  <c r="O22" i="1"/>
  <c r="O18" i="1"/>
  <c r="O14" i="1"/>
  <c r="O10" i="1"/>
  <c r="O6" i="1"/>
  <c r="O23" i="1"/>
  <c r="O15" i="1"/>
  <c r="O11" i="1"/>
  <c r="O25" i="1"/>
  <c r="O21" i="1"/>
  <c r="O17" i="1"/>
  <c r="O13" i="1"/>
  <c r="O9" i="1"/>
  <c r="O5" i="1"/>
  <c r="O24" i="1"/>
  <c r="O20" i="1"/>
  <c r="O16" i="1"/>
  <c r="O12" i="1"/>
  <c r="O8" i="1"/>
  <c r="O4" i="1"/>
  <c r="J3" i="1"/>
  <c r="J24" i="1" s="1"/>
  <c r="P7" i="2" a="1"/>
  <c r="P7" i="2" s="1"/>
  <c r="J4" i="1"/>
  <c r="N23" i="1" s="1"/>
  <c r="N8" i="1" l="1"/>
  <c r="J23" i="1"/>
  <c r="N7" i="1"/>
  <c r="R3" i="1"/>
  <c r="S3" i="1" s="1"/>
  <c r="R7" i="1"/>
  <c r="R11" i="1"/>
  <c r="R15" i="1"/>
  <c r="R19" i="1"/>
  <c r="R23" i="1"/>
  <c r="R27" i="1"/>
  <c r="R31" i="1"/>
  <c r="R35" i="1"/>
  <c r="R39" i="1"/>
  <c r="R43" i="1"/>
  <c r="R47" i="1"/>
  <c r="R51" i="1"/>
  <c r="R4" i="1"/>
  <c r="S4" i="1" s="1"/>
  <c r="R8" i="1"/>
  <c r="R12" i="1"/>
  <c r="R16" i="1"/>
  <c r="R20" i="1"/>
  <c r="R24" i="1"/>
  <c r="R28" i="1"/>
  <c r="R32" i="1"/>
  <c r="R36" i="1"/>
  <c r="R40" i="1"/>
  <c r="R44" i="1"/>
  <c r="R48" i="1"/>
  <c r="R52" i="1"/>
  <c r="R5" i="1"/>
  <c r="S5" i="1" s="1"/>
  <c r="R9" i="1"/>
  <c r="R13" i="1"/>
  <c r="R17" i="1"/>
  <c r="R21" i="1"/>
  <c r="R25" i="1"/>
  <c r="R29" i="1"/>
  <c r="R33" i="1"/>
  <c r="R37" i="1"/>
  <c r="R41" i="1"/>
  <c r="R45" i="1"/>
  <c r="R49" i="1"/>
  <c r="R2" i="1"/>
  <c r="S2" i="1" s="1"/>
  <c r="R6" i="1"/>
  <c r="R10" i="1"/>
  <c r="R14" i="1"/>
  <c r="R18" i="1"/>
  <c r="R22" i="1"/>
  <c r="R26" i="1"/>
  <c r="R30" i="1"/>
  <c r="R34" i="1"/>
  <c r="R38" i="1"/>
  <c r="R42" i="1"/>
  <c r="R46" i="1"/>
  <c r="R50" i="1"/>
  <c r="N12" i="1"/>
  <c r="J13" i="1" a="1"/>
  <c r="J13" i="1" s="1"/>
  <c r="N22" i="1"/>
  <c r="J15" i="1" a="1"/>
  <c r="J15" i="1" s="1"/>
  <c r="N17" i="1"/>
  <c r="N14" i="1"/>
  <c r="N11" i="1"/>
  <c r="N16" i="1"/>
  <c r="N10" i="1"/>
  <c r="N15" i="1"/>
  <c r="N9" i="1"/>
  <c r="N25" i="1"/>
  <c r="N21" i="1"/>
  <c r="N26" i="1"/>
  <c r="N19" i="1"/>
  <c r="N20" i="1"/>
  <c r="N24" i="1"/>
  <c r="N18" i="1"/>
  <c r="N13" i="1"/>
  <c r="J11" i="1" a="1"/>
  <c r="J11" i="1" s="1"/>
  <c r="Q9" i="2"/>
  <c r="P8" i="2"/>
  <c r="Q7" i="2"/>
  <c r="R9" i="2"/>
  <c r="P9" i="2"/>
  <c r="Q8" i="2"/>
  <c r="R8" i="2"/>
  <c r="R7" i="2"/>
  <c r="S6" i="1" l="1"/>
  <c r="T7" i="2" a="1"/>
  <c r="T7" i="2" s="1"/>
  <c r="J2" i="2" s="1"/>
  <c r="S7" i="1" l="1"/>
  <c r="T8" i="2"/>
  <c r="J3" i="2" s="1"/>
  <c r="T9" i="2"/>
  <c r="J4" i="2" s="1"/>
  <c r="J16" i="2" l="1"/>
  <c r="J12" i="2" s="1"/>
  <c r="J15" i="2" s="1"/>
  <c r="J17" i="2"/>
  <c r="J13" i="2" s="1"/>
  <c r="J26" i="2"/>
  <c r="J25" i="2" s="1" a="1"/>
  <c r="J25" i="2" s="1"/>
  <c r="S8" i="1"/>
  <c r="J23" i="2" l="1"/>
  <c r="J11" i="2"/>
  <c r="J22" i="2" s="1"/>
  <c r="S9" i="1"/>
  <c r="S10" i="1" l="1"/>
  <c r="S11" i="1" l="1"/>
  <c r="S12" i="1" l="1"/>
  <c r="S13" i="1" l="1"/>
  <c r="S14" i="1" l="1"/>
  <c r="S15" i="1" l="1"/>
  <c r="S16" i="1" l="1"/>
  <c r="S17" i="1" l="1"/>
  <c r="S18" i="1" l="1"/>
  <c r="S19" i="1" l="1"/>
  <c r="S20" i="1" l="1"/>
  <c r="S21" i="1" l="1"/>
  <c r="S22" i="1" l="1"/>
  <c r="S23" i="1" l="1"/>
  <c r="S24" i="1" l="1"/>
  <c r="S25" i="1" l="1"/>
  <c r="S26" i="1" l="1"/>
  <c r="S27" i="1" l="1"/>
  <c r="S28" i="1" l="1"/>
  <c r="S29" i="1" l="1"/>
  <c r="S30" i="1" l="1"/>
  <c r="S31" i="1" l="1"/>
  <c r="S32" i="1" l="1"/>
  <c r="S33" i="1" l="1"/>
  <c r="S34" i="1" l="1"/>
  <c r="S35" i="1" l="1"/>
  <c r="S36" i="1" l="1"/>
  <c r="S37" i="1" l="1"/>
  <c r="S38" i="1" l="1"/>
  <c r="S39" i="1" l="1"/>
  <c r="S40" i="1" l="1"/>
  <c r="S41" i="1" l="1"/>
  <c r="S42" i="1" l="1"/>
  <c r="S43" i="1" l="1"/>
  <c r="S44" i="1" l="1"/>
  <c r="S45" i="1" l="1"/>
  <c r="S46" i="1" l="1"/>
  <c r="S47" i="1" l="1"/>
  <c r="S48" i="1" l="1"/>
  <c r="S49" i="1" l="1"/>
  <c r="S50" i="1" l="1"/>
  <c r="S52" i="1" l="1"/>
  <c r="S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<sst xmlns="http://schemas.openxmlformats.org/spreadsheetml/2006/main" count="203" uniqueCount="54">
  <si>
    <t>Méthode Cambridge</t>
  </si>
  <si>
    <t>V1</t>
  </si>
  <si>
    <t>Finesse max</t>
  </si>
  <si>
    <t>Vitesse finesse max</t>
  </si>
  <si>
    <t>GR1</t>
  </si>
  <si>
    <t>V2</t>
  </si>
  <si>
    <t>W2</t>
  </si>
  <si>
    <t>m/s</t>
  </si>
  <si>
    <t>km/h</t>
  </si>
  <si>
    <t>Méthode coeff a, b, c polynôme second degré (Naviter/LXNAV)</t>
  </si>
  <si>
    <t>Vitesse à taux de chute -2m/s</t>
  </si>
  <si>
    <t>a</t>
  </si>
  <si>
    <t>b</t>
  </si>
  <si>
    <t>c</t>
  </si>
  <si>
    <t>Coefficient a</t>
  </si>
  <si>
    <t>Coefficient b</t>
  </si>
  <si>
    <t>Coefficient c</t>
  </si>
  <si>
    <t>Taux de chute de référence
(ne pas modifier)</t>
  </si>
  <si>
    <t>k</t>
  </si>
  <si>
    <t>W1</t>
  </si>
  <si>
    <t>Méthode 3 points (Reichmann)</t>
  </si>
  <si>
    <t>Vitesse 1</t>
  </si>
  <si>
    <t>Taux de chute 1</t>
  </si>
  <si>
    <t>Vitesse 2</t>
  </si>
  <si>
    <t>Taux de chute 2</t>
  </si>
  <si>
    <t>V3</t>
  </si>
  <si>
    <t>W3</t>
  </si>
  <si>
    <t>V (km/h)</t>
  </si>
  <si>
    <t>W (m/s)</t>
  </si>
  <si>
    <t>Matrice A</t>
  </si>
  <si>
    <t>Matrice A^-1</t>
  </si>
  <si>
    <t>Vct col B</t>
  </si>
  <si>
    <t>Sol a,b,c   A^-1 . B</t>
  </si>
  <si>
    <t>Taux de chute finesse max
(ne pas modifier)</t>
  </si>
  <si>
    <t>k = W/V</t>
  </si>
  <si>
    <t>MC (m/s)</t>
  </si>
  <si>
    <t>Vopt (km/h)</t>
  </si>
  <si>
    <t>Wplané (m/s)</t>
  </si>
  <si>
    <t>DELTA2</t>
  </si>
  <si>
    <t>Caractéristiques</t>
  </si>
  <si>
    <t>Taux de chute mini</t>
  </si>
  <si>
    <t>W0</t>
  </si>
  <si>
    <t>Vitesse taux de chute mini</t>
  </si>
  <si>
    <t>V0</t>
  </si>
  <si>
    <t>V^2</t>
  </si>
  <si>
    <t>y = c0 + c1 * x + c2 * x^2 + …</t>
  </si>
  <si>
    <t>c2</t>
  </si>
  <si>
    <t>c1</t>
  </si>
  <si>
    <t>c0</t>
  </si>
  <si>
    <t>V^3</t>
  </si>
  <si>
    <t>V^4</t>
  </si>
  <si>
    <t>y = c0 + c1 * x + c2 * x^2 + c3 * x^3 + c4 * x^4 + …</t>
  </si>
  <si>
    <t>c4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</si>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</sst>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0" fontId="2" fillId="3" borderId="0" xfId="0" applyFont="1" applyFill="1"/>
    <xf numFmtId="2" fontId="0" fillId="3" borderId="0" xfId="0" applyNumberFormat="1" applyFill="1"/>
    <xf numFmtId="0" fontId="0" fillId="3" borderId="0" xfId="0" applyFill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2" fillId="2" borderId="0" xfId="0" applyFont="1" applyFill="1"/>
    <xf numFmtId="1" fontId="3" fillId="0" borderId="0" xfId="0" applyNumberFormat="1" applyFont="1"/>
    <xf numFmtId="1" fontId="0" fillId="0" borderId="0" xfId="0" applyNumberFormat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Polaire des vitesses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Cambridge!$N$1</c:f>
              <c:strCache>
                <c:ptCount val="1"/>
                <c:pt idx="0">
                  <c:v>W (m/s)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Cambridge!$M$2:$M$76</c:f>
              <c:numCache>
                <c:formatCode>General</c:formatCode>
                <c:ptCount val="7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xVal>
          <c:yVal>
            <c:numRef>
              <c:f>Cambridge!$N$2:$N$76</c:f>
              <c:numCache>
                <c:formatCode>0.00</c:formatCode>
                <c:ptCount val="75"/>
                <c:pt idx="5">
                  <c:v>-0.49999999999999989</c:v>
                </c:pt>
                <c:pt idx="6">
                  <c:v>-0.46000140001400003</c:v>
                </c:pt>
                <c:pt idx="7">
                  <c:v>-0.44000260002600011</c:v>
                </c:pt>
                <c:pt idx="8">
                  <c:v>-0.44000360003600014</c:v>
                </c:pt>
                <c:pt idx="9">
                  <c:v>-0.46000440004400023</c:v>
                </c:pt>
                <c:pt idx="10">
                  <c:v>-0.50000500005000048</c:v>
                </c:pt>
                <c:pt idx="11">
                  <c:v>-0.56000540005400046</c:v>
                </c:pt>
                <c:pt idx="12">
                  <c:v>-0.6400056000560006</c:v>
                </c:pt>
                <c:pt idx="13">
                  <c:v>-0.74000560005600047</c:v>
                </c:pt>
                <c:pt idx="14">
                  <c:v>-0.8600054000540005</c:v>
                </c:pt>
                <c:pt idx="15">
                  <c:v>-1.0000050000500005</c:v>
                </c:pt>
                <c:pt idx="16">
                  <c:v>-1.1600044000440002</c:v>
                </c:pt>
                <c:pt idx="17">
                  <c:v>-1.3400036000360005</c:v>
                </c:pt>
                <c:pt idx="18">
                  <c:v>-1.5400026000260001</c:v>
                </c:pt>
                <c:pt idx="19">
                  <c:v>-1.7600014000140003</c:v>
                </c:pt>
                <c:pt idx="20">
                  <c:v>-2</c:v>
                </c:pt>
                <c:pt idx="21">
                  <c:v>-2.2599983999839992</c:v>
                </c:pt>
                <c:pt idx="22">
                  <c:v>-2.5399965999659999</c:v>
                </c:pt>
                <c:pt idx="23">
                  <c:v>-2.8399945999459995</c:v>
                </c:pt>
                <c:pt idx="24">
                  <c:v>-3.1599923999239996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9D-47CD-A56B-ED8EE78A1C46}"/>
            </c:ext>
          </c:extLst>
        </c:ser>
        <c:ser>
          <c:idx val="1"/>
          <c:order val="1"/>
          <c:tx>
            <c:strRef>
              <c:f>Cambridge!$O$1</c:f>
              <c:strCache>
                <c:ptCount val="1"/>
                <c:pt idx="0">
                  <c:v>Wplané (m/s)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Cambridge!$M$2:$M$76</c:f>
              <c:numCache>
                <c:formatCode>General</c:formatCode>
                <c:ptCount val="7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xVal>
          <c:yVal>
            <c:numRef>
              <c:f>Cambridge!$O$2:$O$76</c:f>
              <c:numCache>
                <c:formatCode>0.00</c:formatCode>
                <c:ptCount val="75"/>
                <c:pt idx="0">
                  <c:v>0</c:v>
                </c:pt>
                <c:pt idx="1">
                  <c:v>-5.0000500005000052E-2</c:v>
                </c:pt>
                <c:pt idx="2">
                  <c:v>-0.1000010000100001</c:v>
                </c:pt>
                <c:pt idx="3">
                  <c:v>-0.15000150001500015</c:v>
                </c:pt>
                <c:pt idx="4">
                  <c:v>-0.20000200002000021</c:v>
                </c:pt>
                <c:pt idx="5">
                  <c:v>-0.25000250002500024</c:v>
                </c:pt>
                <c:pt idx="6">
                  <c:v>-0.3000030000300003</c:v>
                </c:pt>
                <c:pt idx="7">
                  <c:v>-0.35000350003500036</c:v>
                </c:pt>
                <c:pt idx="8">
                  <c:v>-0.40000400004000042</c:v>
                </c:pt>
                <c:pt idx="9">
                  <c:v>-0.45000450004500048</c:v>
                </c:pt>
                <c:pt idx="10">
                  <c:v>-0.50000500005000048</c:v>
                </c:pt>
                <c:pt idx="11">
                  <c:v>-0.5500055000550006</c:v>
                </c:pt>
                <c:pt idx="12">
                  <c:v>-0.6000060000600006</c:v>
                </c:pt>
                <c:pt idx="13">
                  <c:v>-0.65000650006500071</c:v>
                </c:pt>
                <c:pt idx="14">
                  <c:v>-0.70000700007000072</c:v>
                </c:pt>
                <c:pt idx="15">
                  <c:v>-0.75000750007500083</c:v>
                </c:pt>
                <c:pt idx="16">
                  <c:v>-0.80000800008000084</c:v>
                </c:pt>
                <c:pt idx="17">
                  <c:v>-0.85000850008500084</c:v>
                </c:pt>
                <c:pt idx="18">
                  <c:v>-0.90000900009000095</c:v>
                </c:pt>
                <c:pt idx="19">
                  <c:v>-0.95000950009500096</c:v>
                </c:pt>
                <c:pt idx="20">
                  <c:v>-1.000010000100001</c:v>
                </c:pt>
                <c:pt idx="21">
                  <c:v>-1.0500105001050011</c:v>
                </c:pt>
                <c:pt idx="22">
                  <c:v>-1.1000110001100012</c:v>
                </c:pt>
                <c:pt idx="23">
                  <c:v>-1.1500115001150013</c:v>
                </c:pt>
                <c:pt idx="24">
                  <c:v>-1.2000120001200012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47-4CA3-AD58-B236FE872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45728"/>
        <c:axId val="525356552"/>
      </c:scatterChart>
      <c:valAx>
        <c:axId val="525345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Vitesse air km/h)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5356552"/>
        <c:crosses val="autoZero"/>
        <c:crossBetween val="midCat"/>
      </c:valAx>
      <c:valAx>
        <c:axId val="52535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Taux</a:t>
                </a:r>
                <a:r>
                  <a:rPr lang="en-US" baseline="0"/>
                  <a:t> de chute (m/s)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534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Calage Mac Cready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Cambridge!$R$1</c:f>
              <c:strCache>
                <c:ptCount val="1"/>
                <c:pt idx="0">
                  <c:v>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Cambridge!$Q$2:$Q$52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</c:numCache>
            </c:numRef>
          </c:xVal>
          <c:yVal>
            <c:numRef>
              <c:f>Cambridge!$R$2:$R$52</c:f>
            </c:numRef>
          </c:yVal>
          <c:smooth val="1"/>
          <c:extLst>
            <c:ext xmlns:c16="http://schemas.microsoft.com/office/drawing/2014/chart" uri="{C3380CC4-5D6E-409C-BE32-E72D297353CC}">
              <c16:uniqueId val="{00000000-381A-4BFC-98AE-8C8311E20DB4}"/>
            </c:ext>
          </c:extLst>
        </c:ser>
        <c:ser>
          <c:idx val="1"/>
          <c:order val="1"/>
          <c:tx>
            <c:strRef>
              <c:f>Cambridge!$S$1</c:f>
              <c:strCache>
                <c:ptCount val="1"/>
                <c:pt idx="0">
                  <c:v>Vopt (km/h)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Cambridge!$Q$2:$Q$52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</c:numCache>
            </c:numRef>
          </c:xVal>
          <c:yVal>
            <c:numRef>
              <c:f>Cambridge!$S$2:$S$52</c:f>
              <c:numCache>
                <c:formatCode>0</c:formatCode>
                <c:ptCount val="51"/>
                <c:pt idx="0">
                  <c:v>100</c:v>
                </c:pt>
                <c:pt idx="1">
                  <c:v>104.88093249108726</c:v>
                </c:pt>
                <c:pt idx="2">
                  <c:v>109.54460278991388</c:v>
                </c:pt>
                <c:pt idx="3">
                  <c:v>114.01767407117202</c:v>
                </c:pt>
                <c:pt idx="4">
                  <c:v>118.3217646961032</c:v>
                </c:pt>
                <c:pt idx="5">
                  <c:v>122.47469126721658</c:v>
                </c:pt>
                <c:pt idx="6">
                  <c:v>126.49134358208083</c:v>
                </c:pt>
                <c:pt idx="7">
                  <c:v>130.38431654689157</c:v>
                </c:pt>
                <c:pt idx="8">
                  <c:v>134.16437679801606</c:v>
                </c:pt>
                <c:pt idx="9">
                  <c:v>137.84081399135758</c:v>
                </c:pt>
                <c:pt idx="10">
                  <c:v>141.42170979732933</c:v>
                </c:pt>
                <c:pt idx="11">
                  <c:v>144.91414700504586</c:v>
                </c:pt>
                <c:pt idx="12">
                  <c:v>148.32437426936963</c:v>
                </c:pt>
                <c:pt idx="13">
                  <c:v>151.65793748630517</c:v>
                </c:pt>
                <c:pt idx="14">
                  <c:v>154.91978570473191</c:v>
                </c:pt>
                <c:pt idx="15">
                  <c:v>158.11435735884348</c:v>
                </c:pt>
                <c:pt idx="16">
                  <c:v>161.24565111406901</c:v>
                </c:pt>
                <c:pt idx="17">
                  <c:v>164.31728455460816</c:v>
                </c:pt>
                <c:pt idx="18">
                  <c:v>167.33254316958215</c:v>
                </c:pt>
                <c:pt idx="19">
                  <c:v>170.29442152871619</c:v>
                </c:pt>
                <c:pt idx="20">
                  <c:v>173.20565811774188</c:v>
                </c:pt>
                <c:pt idx="21">
                  <c:v>176.06876498743347</c:v>
                </c:pt>
                <c:pt idx="22">
                  <c:v>178.88605312991871</c:v>
                </c:pt>
                <c:pt idx="23">
                  <c:v>181.65965431157269</c:v>
                </c:pt>
                <c:pt idx="24">
                  <c:v>184.39153994909881</c:v>
                </c:pt>
                <c:pt idx="25">
                  <c:v>187.083537503972</c:v>
                </c:pt>
                <c:pt idx="26">
                  <c:v>189.7373447827288</c:v>
                </c:pt>
                <c:pt idx="27">
                  <c:v>192.35454246105058</c:v>
                </c:pt>
                <c:pt idx="28">
                  <c:v>194.93660509406672</c:v>
                </c:pt>
                <c:pt idx="29">
                  <c:v>197.4849108306762</c:v>
                </c:pt>
                <c:pt idx="30">
                  <c:v>200.00075001359403</c:v>
                </c:pt>
                <c:pt idx="31">
                  <c:v>202.4853328174664</c:v>
                </c:pt>
                <c:pt idx="32">
                  <c:v>204.93979605337793</c:v>
                </c:pt>
                <c:pt idx="33">
                  <c:v>207.36520924832146</c:v>
                </c:pt>
                <c:pt idx="34">
                  <c:v>209.7625800918747</c:v>
                </c:pt>
                <c:pt idx="35">
                  <c:v>212.13285932877102</c:v>
                </c:pt>
                <c:pt idx="36">
                  <c:v>214.47694516474297</c:v>
                </c:pt>
                <c:pt idx="37">
                  <c:v>216.79568724354314</c:v>
                </c:pt>
                <c:pt idx="38">
                  <c:v>219.08989024507764</c:v>
                </c:pt>
                <c:pt idx="39">
                  <c:v>221.36031714785778</c:v>
                </c:pt>
                <c:pt idx="40">
                  <c:v>223.60769219327</c:v>
                </c:pt>
                <c:pt idx="41">
                  <c:v>225.83270358431298</c:v>
                </c:pt>
                <c:pt idx="42">
                  <c:v>228.03600594730688</c:v>
                </c:pt>
                <c:pt idx="43">
                  <c:v>230.21822258153281</c:v>
                </c:pt>
                <c:pt idx="44">
                  <c:v>232.37994751871381</c:v>
                </c:pt>
                <c:pt idx="45">
                  <c:v>234.52174741162102</c:v>
                </c:pt>
                <c:pt idx="46">
                  <c:v>236.64416326882051</c:v>
                </c:pt>
                <c:pt idx="47">
                  <c:v>238.7477120506083</c:v>
                </c:pt>
                <c:pt idx="48">
                  <c:v>240.83288813947357</c:v>
                </c:pt>
                <c:pt idx="49">
                  <c:v>242.90016469693921</c:v>
                </c:pt>
                <c:pt idx="50">
                  <c:v>244.9499949173304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1A-4BFC-98AE-8C8311E20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54184"/>
        <c:axId val="554859104"/>
      </c:scatterChart>
      <c:valAx>
        <c:axId val="554854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MC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4859104"/>
        <c:crosses val="autoZero"/>
        <c:crossBetween val="midCat"/>
      </c:valAx>
      <c:valAx>
        <c:axId val="5548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Vopt</a:t>
                </a:r>
                <a:r>
                  <a:rPr lang="fr-FR" baseline="0"/>
                  <a:t> (km/h)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4854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</a:t>
            </a:r>
            <a:r>
              <a:rPr lang="fr-FR" baseline="0"/>
              <a:t> polaires des vitesses : </a:t>
            </a:r>
          </a:p>
          <a:p>
            <a:pPr>
              <a:defRPr/>
            </a:pPr>
            <a:r>
              <a:rPr lang="fr-FR" baseline="0"/>
              <a:t>données / modèle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Données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'Régression deg 2'!$A$2:$A$20</c:f>
              <c:numCache>
                <c:formatCode>General</c:formatCode>
                <c:ptCount val="19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  <c:pt idx="12">
                  <c:v>200</c:v>
                </c:pt>
              </c:numCache>
            </c:numRef>
          </c:xVal>
          <c:yVal>
            <c:numRef>
              <c:f>'Régression deg 2'!$B$2:$B$20</c:f>
              <c:numCache>
                <c:formatCode>0.00</c:formatCode>
                <c:ptCount val="19"/>
                <c:pt idx="0">
                  <c:v>-0.44</c:v>
                </c:pt>
                <c:pt idx="1">
                  <c:v>-0.44</c:v>
                </c:pt>
                <c:pt idx="2">
                  <c:v>-0.46</c:v>
                </c:pt>
                <c:pt idx="3">
                  <c:v>-0.5</c:v>
                </c:pt>
                <c:pt idx="4">
                  <c:v>-0.56000000000000005</c:v>
                </c:pt>
                <c:pt idx="5">
                  <c:v>-0.64</c:v>
                </c:pt>
                <c:pt idx="6">
                  <c:v>-0.74</c:v>
                </c:pt>
                <c:pt idx="7">
                  <c:v>-0.86</c:v>
                </c:pt>
                <c:pt idx="8">
                  <c:v>-1</c:v>
                </c:pt>
                <c:pt idx="9">
                  <c:v>-1.1599999999999999</c:v>
                </c:pt>
                <c:pt idx="10">
                  <c:v>-1.34</c:v>
                </c:pt>
                <c:pt idx="11">
                  <c:v>-1.54</c:v>
                </c:pt>
                <c:pt idx="12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0C-4533-8073-CF8A59780AF6}"/>
            </c:ext>
          </c:extLst>
        </c:ser>
        <c:ser>
          <c:idx val="1"/>
          <c:order val="1"/>
          <c:tx>
            <c:v>Modèle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'Régression deg 2'!$H$24:$H$72</c:f>
              <c:numCache>
                <c:formatCode>General</c:formatCode>
                <c:ptCount val="4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120</c:v>
                </c:pt>
                <c:pt idx="13">
                  <c:v>125</c:v>
                </c:pt>
                <c:pt idx="14">
                  <c:v>130</c:v>
                </c:pt>
                <c:pt idx="15">
                  <c:v>135</c:v>
                </c:pt>
                <c:pt idx="16">
                  <c:v>140</c:v>
                </c:pt>
                <c:pt idx="17">
                  <c:v>145</c:v>
                </c:pt>
                <c:pt idx="18">
                  <c:v>150</c:v>
                </c:pt>
                <c:pt idx="19">
                  <c:v>155</c:v>
                </c:pt>
                <c:pt idx="20">
                  <c:v>160</c:v>
                </c:pt>
                <c:pt idx="21">
                  <c:v>165</c:v>
                </c:pt>
                <c:pt idx="22">
                  <c:v>170</c:v>
                </c:pt>
                <c:pt idx="23">
                  <c:v>175</c:v>
                </c:pt>
                <c:pt idx="24">
                  <c:v>180</c:v>
                </c:pt>
                <c:pt idx="25">
                  <c:v>185</c:v>
                </c:pt>
                <c:pt idx="26">
                  <c:v>190</c:v>
                </c:pt>
                <c:pt idx="27">
                  <c:v>195</c:v>
                </c:pt>
                <c:pt idx="28">
                  <c:v>200</c:v>
                </c:pt>
                <c:pt idx="29">
                  <c:v>205</c:v>
                </c:pt>
                <c:pt idx="30">
                  <c:v>210</c:v>
                </c:pt>
                <c:pt idx="31">
                  <c:v>215</c:v>
                </c:pt>
                <c:pt idx="32">
                  <c:v>220</c:v>
                </c:pt>
                <c:pt idx="33">
                  <c:v>225</c:v>
                </c:pt>
                <c:pt idx="34">
                  <c:v>230</c:v>
                </c:pt>
                <c:pt idx="35">
                  <c:v>235</c:v>
                </c:pt>
                <c:pt idx="36">
                  <c:v>240</c:v>
                </c:pt>
                <c:pt idx="37">
                  <c:v>245</c:v>
                </c:pt>
                <c:pt idx="38">
                  <c:v>250</c:v>
                </c:pt>
                <c:pt idx="39">
                  <c:v>255</c:v>
                </c:pt>
                <c:pt idx="40">
                  <c:v>260</c:v>
                </c:pt>
                <c:pt idx="41">
                  <c:v>265</c:v>
                </c:pt>
                <c:pt idx="42">
                  <c:v>270</c:v>
                </c:pt>
                <c:pt idx="43">
                  <c:v>275</c:v>
                </c:pt>
                <c:pt idx="44">
                  <c:v>280</c:v>
                </c:pt>
                <c:pt idx="45">
                  <c:v>285</c:v>
                </c:pt>
                <c:pt idx="46">
                  <c:v>290</c:v>
                </c:pt>
                <c:pt idx="47">
                  <c:v>295</c:v>
                </c:pt>
                <c:pt idx="48">
                  <c:v>300</c:v>
                </c:pt>
              </c:numCache>
            </c:numRef>
          </c:xVal>
          <c:yVal>
            <c:numRef>
              <c:f>'Régression deg 2'!$I$24:$I$72</c:f>
              <c:numCache>
                <c:formatCode>General</c:formatCode>
                <c:ptCount val="49"/>
                <c:pt idx="0">
                  <c:v>-0.45999999999999996</c:v>
                </c:pt>
                <c:pt idx="1">
                  <c:v>-0.44749999999999995</c:v>
                </c:pt>
                <c:pt idx="2">
                  <c:v>-0.43999999999999989</c:v>
                </c:pt>
                <c:pt idx="3">
                  <c:v>-0.4375</c:v>
                </c:pt>
                <c:pt idx="4">
                  <c:v>-0.43999999999999984</c:v>
                </c:pt>
                <c:pt idx="5">
                  <c:v>-0.4474999999999999</c:v>
                </c:pt>
                <c:pt idx="6">
                  <c:v>-0.45999999999999996</c:v>
                </c:pt>
                <c:pt idx="7">
                  <c:v>-0.47749999999999981</c:v>
                </c:pt>
                <c:pt idx="8">
                  <c:v>-0.49999999999999978</c:v>
                </c:pt>
                <c:pt idx="9">
                  <c:v>-0.52749999999999986</c:v>
                </c:pt>
                <c:pt idx="10">
                  <c:v>-0.55999999999999983</c:v>
                </c:pt>
                <c:pt idx="11">
                  <c:v>-0.59749999999999992</c:v>
                </c:pt>
                <c:pt idx="12">
                  <c:v>-0.6399999999999999</c:v>
                </c:pt>
                <c:pt idx="13">
                  <c:v>-0.68749999999999978</c:v>
                </c:pt>
                <c:pt idx="14">
                  <c:v>-0.74</c:v>
                </c:pt>
                <c:pt idx="15">
                  <c:v>-0.7975000000000001</c:v>
                </c:pt>
                <c:pt idx="16">
                  <c:v>-0.85999999999999988</c:v>
                </c:pt>
                <c:pt idx="17">
                  <c:v>-0.92749999999999999</c:v>
                </c:pt>
                <c:pt idx="18">
                  <c:v>-1.0000000000000002</c:v>
                </c:pt>
                <c:pt idx="19">
                  <c:v>-1.0774999999999999</c:v>
                </c:pt>
                <c:pt idx="20">
                  <c:v>-1.1599999999999999</c:v>
                </c:pt>
                <c:pt idx="21">
                  <c:v>-1.2475000000000003</c:v>
                </c:pt>
                <c:pt idx="22">
                  <c:v>-1.34</c:v>
                </c:pt>
                <c:pt idx="23">
                  <c:v>-1.4374999999999998</c:v>
                </c:pt>
                <c:pt idx="24">
                  <c:v>-1.5400000000000003</c:v>
                </c:pt>
                <c:pt idx="25">
                  <c:v>-1.6475000000000002</c:v>
                </c:pt>
                <c:pt idx="26">
                  <c:v>-1.76</c:v>
                </c:pt>
                <c:pt idx="27">
                  <c:v>-1.8775000000000002</c:v>
                </c:pt>
                <c:pt idx="28">
                  <c:v>-2</c:v>
                </c:pt>
                <c:pt idx="29">
                  <c:v>-2.1275000000000004</c:v>
                </c:pt>
                <c:pt idx="30">
                  <c:v>-2.2599999999999998</c:v>
                </c:pt>
                <c:pt idx="31">
                  <c:v>-2.3975</c:v>
                </c:pt>
                <c:pt idx="32">
                  <c:v>-2.54</c:v>
                </c:pt>
                <c:pt idx="33">
                  <c:v>-2.6875000000000009</c:v>
                </c:pt>
                <c:pt idx="34">
                  <c:v>-2.8400000000000007</c:v>
                </c:pt>
                <c:pt idx="35">
                  <c:v>-2.9975000000000005</c:v>
                </c:pt>
                <c:pt idx="36">
                  <c:v>-3.16</c:v>
                </c:pt>
                <c:pt idx="37">
                  <c:v>-3.3275000000000006</c:v>
                </c:pt>
                <c:pt idx="38">
                  <c:v>-3.5</c:v>
                </c:pt>
                <c:pt idx="39">
                  <c:v>-3.6775000000000011</c:v>
                </c:pt>
                <c:pt idx="40">
                  <c:v>-3.8600000000000012</c:v>
                </c:pt>
                <c:pt idx="41">
                  <c:v>-4.0475000000000012</c:v>
                </c:pt>
                <c:pt idx="42">
                  <c:v>-4.2400000000000011</c:v>
                </c:pt>
                <c:pt idx="43">
                  <c:v>-4.4375000000000009</c:v>
                </c:pt>
                <c:pt idx="44">
                  <c:v>-4.6400000000000006</c:v>
                </c:pt>
                <c:pt idx="45">
                  <c:v>-4.8475000000000001</c:v>
                </c:pt>
                <c:pt idx="46">
                  <c:v>-5.0600000000000005</c:v>
                </c:pt>
                <c:pt idx="47">
                  <c:v>-5.2775000000000007</c:v>
                </c:pt>
                <c:pt idx="48">
                  <c:v>-5.5000000000000018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0C-4533-8073-CF8A59780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49712"/>
        <c:axId val="500449384"/>
      </c:scatterChart>
      <c:valAx>
        <c:axId val="50044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 (km/h)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449384"/>
        <c:crosses val="autoZero"/>
        <c:crossBetween val="midCat"/>
      </c:valAx>
      <c:valAx>
        <c:axId val="50044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44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</a:t>
            </a:r>
            <a:r>
              <a:rPr lang="fr-FR" baseline="0"/>
              <a:t> polaires des vitesses : </a:t>
            </a:r>
          </a:p>
          <a:p>
            <a:pPr>
              <a:defRPr/>
            </a:pPr>
            <a:r>
              <a:rPr lang="fr-FR" baseline="0"/>
              <a:t>données / modèle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Données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'Régression deg 4'!$A$2:$A$20</c:f>
              <c:numCache>
                <c:formatCode>General</c:formatCode>
                <c:ptCount val="19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  <c:pt idx="12">
                  <c:v>200</c:v>
                </c:pt>
              </c:numCache>
            </c:numRef>
          </c:xVal>
          <c:yVal>
            <c:numRef>
              <c:f>'Régression deg 4'!$B$2:$B$20</c:f>
              <c:numCache>
                <c:formatCode>0.00</c:formatCode>
                <c:ptCount val="19"/>
                <c:pt idx="0">
                  <c:v>-0.44</c:v>
                </c:pt>
                <c:pt idx="1">
                  <c:v>-0.44</c:v>
                </c:pt>
                <c:pt idx="2">
                  <c:v>-0.46</c:v>
                </c:pt>
                <c:pt idx="3">
                  <c:v>-0.5</c:v>
                </c:pt>
                <c:pt idx="4">
                  <c:v>-0.56000000000000005</c:v>
                </c:pt>
                <c:pt idx="5">
                  <c:v>-0.64</c:v>
                </c:pt>
                <c:pt idx="6">
                  <c:v>-0.74</c:v>
                </c:pt>
                <c:pt idx="7">
                  <c:v>-0.86</c:v>
                </c:pt>
                <c:pt idx="8">
                  <c:v>-1</c:v>
                </c:pt>
                <c:pt idx="9">
                  <c:v>-1.1599999999999999</c:v>
                </c:pt>
                <c:pt idx="10">
                  <c:v>-1.34</c:v>
                </c:pt>
                <c:pt idx="11">
                  <c:v>-1.54</c:v>
                </c:pt>
                <c:pt idx="12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62-445E-AC50-49518D7A0B96}"/>
            </c:ext>
          </c:extLst>
        </c:ser>
        <c:ser>
          <c:idx val="1"/>
          <c:order val="1"/>
          <c:tx>
            <c:v>Modèle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'Régression deg 4'!$J$24:$J$72</c:f>
              <c:numCache>
                <c:formatCode>General</c:formatCode>
                <c:ptCount val="4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120</c:v>
                </c:pt>
                <c:pt idx="13">
                  <c:v>125</c:v>
                </c:pt>
                <c:pt idx="14">
                  <c:v>130</c:v>
                </c:pt>
                <c:pt idx="15">
                  <c:v>135</c:v>
                </c:pt>
                <c:pt idx="16">
                  <c:v>140</c:v>
                </c:pt>
                <c:pt idx="17">
                  <c:v>145</c:v>
                </c:pt>
                <c:pt idx="18">
                  <c:v>150</c:v>
                </c:pt>
                <c:pt idx="19">
                  <c:v>155</c:v>
                </c:pt>
                <c:pt idx="20">
                  <c:v>160</c:v>
                </c:pt>
                <c:pt idx="21">
                  <c:v>165</c:v>
                </c:pt>
                <c:pt idx="22">
                  <c:v>170</c:v>
                </c:pt>
                <c:pt idx="23">
                  <c:v>175</c:v>
                </c:pt>
                <c:pt idx="24">
                  <c:v>180</c:v>
                </c:pt>
                <c:pt idx="25">
                  <c:v>185</c:v>
                </c:pt>
                <c:pt idx="26">
                  <c:v>190</c:v>
                </c:pt>
                <c:pt idx="27">
                  <c:v>195</c:v>
                </c:pt>
                <c:pt idx="28">
                  <c:v>200</c:v>
                </c:pt>
                <c:pt idx="29">
                  <c:v>205</c:v>
                </c:pt>
                <c:pt idx="30">
                  <c:v>210</c:v>
                </c:pt>
                <c:pt idx="31">
                  <c:v>215</c:v>
                </c:pt>
                <c:pt idx="32">
                  <c:v>220</c:v>
                </c:pt>
                <c:pt idx="33">
                  <c:v>225</c:v>
                </c:pt>
                <c:pt idx="34">
                  <c:v>230</c:v>
                </c:pt>
                <c:pt idx="35">
                  <c:v>235</c:v>
                </c:pt>
                <c:pt idx="36">
                  <c:v>240</c:v>
                </c:pt>
                <c:pt idx="37">
                  <c:v>245</c:v>
                </c:pt>
                <c:pt idx="38">
                  <c:v>250</c:v>
                </c:pt>
                <c:pt idx="39">
                  <c:v>255</c:v>
                </c:pt>
                <c:pt idx="40">
                  <c:v>260</c:v>
                </c:pt>
                <c:pt idx="41">
                  <c:v>265</c:v>
                </c:pt>
                <c:pt idx="42">
                  <c:v>270</c:v>
                </c:pt>
                <c:pt idx="43">
                  <c:v>275</c:v>
                </c:pt>
                <c:pt idx="44">
                  <c:v>280</c:v>
                </c:pt>
                <c:pt idx="45">
                  <c:v>285</c:v>
                </c:pt>
                <c:pt idx="46">
                  <c:v>290</c:v>
                </c:pt>
                <c:pt idx="47">
                  <c:v>295</c:v>
                </c:pt>
                <c:pt idx="48">
                  <c:v>300</c:v>
                </c:pt>
              </c:numCache>
            </c:numRef>
          </c:xVal>
          <c:yVal>
            <c:numRef>
              <c:f>'Régression deg 4'!$K$24:$K$72</c:f>
              <c:numCache>
                <c:formatCode>General</c:formatCode>
                <c:ptCount val="49"/>
                <c:pt idx="0">
                  <c:v>-0.46000000000000013</c:v>
                </c:pt>
                <c:pt idx="1">
                  <c:v>-0.44750000000000001</c:v>
                </c:pt>
                <c:pt idx="2">
                  <c:v>-0.44000000000000017</c:v>
                </c:pt>
                <c:pt idx="3">
                  <c:v>-0.43750000000000017</c:v>
                </c:pt>
                <c:pt idx="4">
                  <c:v>-0.44000000000000006</c:v>
                </c:pt>
                <c:pt idx="5">
                  <c:v>-0.44749999999999979</c:v>
                </c:pt>
                <c:pt idx="6">
                  <c:v>-0.45999999999999974</c:v>
                </c:pt>
                <c:pt idx="7">
                  <c:v>-0.47749999999999976</c:v>
                </c:pt>
                <c:pt idx="8">
                  <c:v>-0.49999999999999967</c:v>
                </c:pt>
                <c:pt idx="9">
                  <c:v>-0.52749999999999975</c:v>
                </c:pt>
                <c:pt idx="10">
                  <c:v>-0.55999999999999983</c:v>
                </c:pt>
                <c:pt idx="11">
                  <c:v>-0.5974999999999997</c:v>
                </c:pt>
                <c:pt idx="12">
                  <c:v>-0.63999999999999968</c:v>
                </c:pt>
                <c:pt idx="13">
                  <c:v>-0.68749999999999978</c:v>
                </c:pt>
                <c:pt idx="14">
                  <c:v>-0.73999999999999977</c:v>
                </c:pt>
                <c:pt idx="15">
                  <c:v>-0.79749999999999976</c:v>
                </c:pt>
                <c:pt idx="16">
                  <c:v>-0.86000000000000021</c:v>
                </c:pt>
                <c:pt idx="17">
                  <c:v>-0.92749999999999988</c:v>
                </c:pt>
                <c:pt idx="18">
                  <c:v>-1.0000000000000004</c:v>
                </c:pt>
                <c:pt idx="19">
                  <c:v>-1.0774999999999999</c:v>
                </c:pt>
                <c:pt idx="20">
                  <c:v>-1.1600000000000004</c:v>
                </c:pt>
                <c:pt idx="21">
                  <c:v>-1.2475000000000001</c:v>
                </c:pt>
                <c:pt idx="22">
                  <c:v>-1.3399999999999999</c:v>
                </c:pt>
                <c:pt idx="23">
                  <c:v>-1.4375000000000002</c:v>
                </c:pt>
                <c:pt idx="24">
                  <c:v>-1.5399999999999998</c:v>
                </c:pt>
                <c:pt idx="25">
                  <c:v>-1.6475</c:v>
                </c:pt>
                <c:pt idx="26">
                  <c:v>-1.7599999999999998</c:v>
                </c:pt>
                <c:pt idx="27">
                  <c:v>-1.8774999999999999</c:v>
                </c:pt>
                <c:pt idx="28">
                  <c:v>-1.9999999999999993</c:v>
                </c:pt>
                <c:pt idx="29">
                  <c:v>-2.1275000000000004</c:v>
                </c:pt>
                <c:pt idx="30">
                  <c:v>-2.2599999999999998</c:v>
                </c:pt>
                <c:pt idx="31">
                  <c:v>-2.3974999999999991</c:v>
                </c:pt>
                <c:pt idx="32">
                  <c:v>-2.5399999999999991</c:v>
                </c:pt>
                <c:pt idx="33">
                  <c:v>-2.6874999999999991</c:v>
                </c:pt>
                <c:pt idx="34">
                  <c:v>-2.839999999999999</c:v>
                </c:pt>
                <c:pt idx="35">
                  <c:v>-2.9974999999999983</c:v>
                </c:pt>
                <c:pt idx="36">
                  <c:v>-3.1599999999999979</c:v>
                </c:pt>
                <c:pt idx="37">
                  <c:v>-3.3274999999999979</c:v>
                </c:pt>
                <c:pt idx="38">
                  <c:v>-3.4999999999999969</c:v>
                </c:pt>
                <c:pt idx="39">
                  <c:v>-3.6774999999999962</c:v>
                </c:pt>
                <c:pt idx="40">
                  <c:v>-3.859999999999995</c:v>
                </c:pt>
                <c:pt idx="41">
                  <c:v>-4.0474999999999959</c:v>
                </c:pt>
                <c:pt idx="42">
                  <c:v>-4.239999999999994</c:v>
                </c:pt>
                <c:pt idx="43">
                  <c:v>-4.4374999999999929</c:v>
                </c:pt>
                <c:pt idx="44">
                  <c:v>-4.6399999999999935</c:v>
                </c:pt>
                <c:pt idx="45">
                  <c:v>-4.8474999999999921</c:v>
                </c:pt>
                <c:pt idx="46">
                  <c:v>-5.0599999999999898</c:v>
                </c:pt>
                <c:pt idx="47">
                  <c:v>-5.2774999999999883</c:v>
                </c:pt>
                <c:pt idx="48">
                  <c:v>-5.4999999999999893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62-445E-AC50-49518D7A0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49712"/>
        <c:axId val="500449384"/>
      </c:scatterChart>
      <c:valAx>
        <c:axId val="50044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 (km/h)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449384"/>
        <c:crosses val="autoZero"/>
        <c:crossBetween val="midCat"/>
      </c:valAx>
      <c:valAx>
        <c:axId val="50044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44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7</xdr:row>
      <xdr:rowOff>95250</xdr:rowOff>
    </xdr:from>
    <xdr:to>
      <xdr:col>5</xdr:col>
      <xdr:colOff>676275</xdr:colOff>
      <xdr:row>22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9E50AA2-B7CE-4443-8BD0-B92AA0C6F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136525</xdr:colOff>
      <xdr:row>23</xdr:row>
      <xdr:rowOff>50800</xdr:rowOff>
    </xdr:from>
    <xdr:to>
      <xdr:col>5</xdr:col>
      <xdr:colOff>688975</xdr:colOff>
      <xdr:row>38</xdr:row>
      <xdr:rowOff>31750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2CD5FF1-00DB-4780-A91E-A402494FB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155575</xdr:colOff>
      <xdr:row>0</xdr:row>
      <xdr:rowOff>171450</xdr:rowOff>
    </xdr:from>
    <xdr:to>
      <xdr:col>12</xdr:col>
      <xdr:colOff>155575</xdr:colOff>
      <xdr:row>15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05F103F-902B-451C-A0E9-BADDAB387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619125</xdr:colOff>
      <xdr:row>0</xdr:row>
      <xdr:rowOff>133350</xdr:rowOff>
    </xdr:from>
    <xdr:to>
      <xdr:col>14</xdr:col>
      <xdr:colOff>727075</xdr:colOff>
      <xdr:row>15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E293DC0-2DCC-4476-9499-B17939A39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aire_regr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égression deg 2"/>
      <sheetName val="Régression deg 4"/>
    </sheetNames>
    <sheetDataSet>
      <sheetData sheetId="0">
        <row r="2">
          <cell r="A2">
            <v>70</v>
          </cell>
          <cell r="B2">
            <v>-0.44</v>
          </cell>
        </row>
        <row r="3">
          <cell r="A3">
            <v>80</v>
          </cell>
          <cell r="B3">
            <v>-0.44</v>
          </cell>
        </row>
        <row r="4">
          <cell r="A4">
            <v>90</v>
          </cell>
          <cell r="B4">
            <v>-0.46</v>
          </cell>
        </row>
        <row r="5">
          <cell r="A5">
            <v>100</v>
          </cell>
          <cell r="B5">
            <v>-0.5</v>
          </cell>
        </row>
        <row r="6">
          <cell r="A6">
            <v>110</v>
          </cell>
          <cell r="B6">
            <v>-0.56000000000000005</v>
          </cell>
        </row>
        <row r="7">
          <cell r="A7">
            <v>120</v>
          </cell>
          <cell r="B7">
            <v>-0.64</v>
          </cell>
        </row>
        <row r="8">
          <cell r="A8">
            <v>130</v>
          </cell>
          <cell r="B8">
            <v>-0.74</v>
          </cell>
        </row>
        <row r="9">
          <cell r="A9">
            <v>140</v>
          </cell>
          <cell r="B9">
            <v>-0.86</v>
          </cell>
        </row>
        <row r="10">
          <cell r="A10">
            <v>150</v>
          </cell>
          <cell r="B10">
            <v>-1</v>
          </cell>
        </row>
        <row r="11">
          <cell r="A11">
            <v>160</v>
          </cell>
          <cell r="B11">
            <v>-1.1599999999999999</v>
          </cell>
        </row>
        <row r="12">
          <cell r="A12">
            <v>170</v>
          </cell>
          <cell r="B12">
            <v>-1.34</v>
          </cell>
        </row>
        <row r="13">
          <cell r="A13">
            <v>180</v>
          </cell>
          <cell r="B13">
            <v>-1.54</v>
          </cell>
        </row>
        <row r="14">
          <cell r="A14">
            <v>200</v>
          </cell>
          <cell r="B14">
            <v>-2</v>
          </cell>
        </row>
        <row r="21">
          <cell r="H21">
            <v>-1.0000000000000003E-4</v>
          </cell>
          <cell r="I21">
            <v>1.5000000000000006E-2</v>
          </cell>
          <cell r="J21">
            <v>-1.0000000000000002</v>
          </cell>
        </row>
        <row r="24">
          <cell r="H24">
            <v>60</v>
          </cell>
          <cell r="I24">
            <v>-0.45999999999999996</v>
          </cell>
        </row>
        <row r="25">
          <cell r="H25">
            <v>65</v>
          </cell>
          <cell r="I25">
            <v>-0.44749999999999995</v>
          </cell>
        </row>
        <row r="26">
          <cell r="H26">
            <v>70</v>
          </cell>
          <cell r="I26">
            <v>-0.43999999999999989</v>
          </cell>
        </row>
        <row r="27">
          <cell r="H27">
            <v>75</v>
          </cell>
          <cell r="I27">
            <v>-0.4375</v>
          </cell>
        </row>
        <row r="28">
          <cell r="H28">
            <v>80</v>
          </cell>
          <cell r="I28">
            <v>-0.43999999999999984</v>
          </cell>
        </row>
        <row r="29">
          <cell r="H29">
            <v>85</v>
          </cell>
          <cell r="I29">
            <v>-0.4474999999999999</v>
          </cell>
        </row>
        <row r="30">
          <cell r="H30">
            <v>90</v>
          </cell>
          <cell r="I30">
            <v>-0.45999999999999996</v>
          </cell>
        </row>
        <row r="31">
          <cell r="H31">
            <v>95</v>
          </cell>
          <cell r="I31">
            <v>-0.47749999999999981</v>
          </cell>
        </row>
        <row r="32">
          <cell r="H32">
            <v>100</v>
          </cell>
          <cell r="I32">
            <v>-0.49999999999999978</v>
          </cell>
        </row>
        <row r="33">
          <cell r="H33">
            <v>105</v>
          </cell>
          <cell r="I33">
            <v>-0.52749999999999986</v>
          </cell>
        </row>
        <row r="34">
          <cell r="H34">
            <v>110</v>
          </cell>
          <cell r="I34">
            <v>-0.55999999999999983</v>
          </cell>
        </row>
        <row r="35">
          <cell r="H35">
            <v>115</v>
          </cell>
          <cell r="I35">
            <v>-0.59749999999999992</v>
          </cell>
        </row>
        <row r="36">
          <cell r="H36">
            <v>120</v>
          </cell>
          <cell r="I36">
            <v>-0.6399999999999999</v>
          </cell>
        </row>
        <row r="37">
          <cell r="H37">
            <v>125</v>
          </cell>
          <cell r="I37">
            <v>-0.68749999999999978</v>
          </cell>
        </row>
        <row r="38">
          <cell r="H38">
            <v>130</v>
          </cell>
          <cell r="I38">
            <v>-0.74</v>
          </cell>
        </row>
        <row r="39">
          <cell r="H39">
            <v>135</v>
          </cell>
          <cell r="I39">
            <v>-0.7975000000000001</v>
          </cell>
        </row>
        <row r="40">
          <cell r="H40">
            <v>140</v>
          </cell>
          <cell r="I40">
            <v>-0.85999999999999988</v>
          </cell>
        </row>
        <row r="41">
          <cell r="H41">
            <v>145</v>
          </cell>
          <cell r="I41">
            <v>-0.92749999999999999</v>
          </cell>
        </row>
        <row r="42">
          <cell r="H42">
            <v>150</v>
          </cell>
          <cell r="I42">
            <v>-1.0000000000000002</v>
          </cell>
        </row>
        <row r="43">
          <cell r="H43">
            <v>155</v>
          </cell>
          <cell r="I43">
            <v>-1.0774999999999999</v>
          </cell>
        </row>
        <row r="44">
          <cell r="H44">
            <v>160</v>
          </cell>
          <cell r="I44">
            <v>-1.1599999999999999</v>
          </cell>
        </row>
        <row r="45">
          <cell r="H45">
            <v>165</v>
          </cell>
          <cell r="I45">
            <v>-1.2475000000000003</v>
          </cell>
        </row>
        <row r="46">
          <cell r="H46">
            <v>170</v>
          </cell>
          <cell r="I46">
            <v>-1.34</v>
          </cell>
        </row>
        <row r="47">
          <cell r="H47">
            <v>175</v>
          </cell>
          <cell r="I47">
            <v>-1.4374999999999998</v>
          </cell>
        </row>
        <row r="48">
          <cell r="H48">
            <v>180</v>
          </cell>
          <cell r="I48">
            <v>-1.5400000000000003</v>
          </cell>
        </row>
        <row r="49">
          <cell r="H49">
            <v>185</v>
          </cell>
          <cell r="I49">
            <v>-1.6475000000000002</v>
          </cell>
        </row>
        <row r="50">
          <cell r="H50">
            <v>190</v>
          </cell>
          <cell r="I50">
            <v>-1.76</v>
          </cell>
        </row>
        <row r="51">
          <cell r="H51">
            <v>195</v>
          </cell>
          <cell r="I51">
            <v>-1.8775000000000002</v>
          </cell>
        </row>
        <row r="52">
          <cell r="H52">
            <v>200</v>
          </cell>
          <cell r="I52">
            <v>-2</v>
          </cell>
        </row>
        <row r="53">
          <cell r="H53">
            <v>205</v>
          </cell>
          <cell r="I53">
            <v>-2.1275000000000004</v>
          </cell>
        </row>
        <row r="54">
          <cell r="H54">
            <v>210</v>
          </cell>
          <cell r="I54">
            <v>-2.2599999999999998</v>
          </cell>
        </row>
        <row r="55">
          <cell r="H55">
            <v>215</v>
          </cell>
          <cell r="I55">
            <v>-2.3975</v>
          </cell>
        </row>
        <row r="56">
          <cell r="H56">
            <v>220</v>
          </cell>
          <cell r="I56">
            <v>-2.54</v>
          </cell>
        </row>
        <row r="57">
          <cell r="H57">
            <v>225</v>
          </cell>
          <cell r="I57">
            <v>-2.6875000000000009</v>
          </cell>
        </row>
        <row r="58">
          <cell r="H58">
            <v>230</v>
          </cell>
          <cell r="I58">
            <v>-2.8400000000000007</v>
          </cell>
        </row>
        <row r="59">
          <cell r="H59">
            <v>235</v>
          </cell>
          <cell r="I59">
            <v>-2.9975000000000005</v>
          </cell>
        </row>
        <row r="60">
          <cell r="H60">
            <v>240</v>
          </cell>
          <cell r="I60">
            <v>-3.16</v>
          </cell>
        </row>
        <row r="61">
          <cell r="H61">
            <v>245</v>
          </cell>
          <cell r="I61">
            <v>-3.3275000000000006</v>
          </cell>
        </row>
        <row r="62">
          <cell r="H62">
            <v>250</v>
          </cell>
          <cell r="I62">
            <v>-3.5</v>
          </cell>
        </row>
        <row r="63">
          <cell r="H63">
            <v>255</v>
          </cell>
          <cell r="I63">
            <v>-3.6775000000000011</v>
          </cell>
        </row>
        <row r="64">
          <cell r="H64">
            <v>260</v>
          </cell>
          <cell r="I64">
            <v>-3.8600000000000012</v>
          </cell>
        </row>
        <row r="65">
          <cell r="H65">
            <v>265</v>
          </cell>
          <cell r="I65">
            <v>-4.0475000000000012</v>
          </cell>
        </row>
        <row r="66">
          <cell r="H66">
            <v>270</v>
          </cell>
          <cell r="I66">
            <v>-4.2400000000000011</v>
          </cell>
        </row>
        <row r="67">
          <cell r="H67">
            <v>275</v>
          </cell>
          <cell r="I67">
            <v>-4.4375000000000009</v>
          </cell>
        </row>
        <row r="68">
          <cell r="H68">
            <v>280</v>
          </cell>
          <cell r="I68">
            <v>-4.6400000000000006</v>
          </cell>
        </row>
        <row r="69">
          <cell r="H69">
            <v>285</v>
          </cell>
          <cell r="I69">
            <v>-4.8475000000000001</v>
          </cell>
        </row>
        <row r="70">
          <cell r="H70">
            <v>290</v>
          </cell>
          <cell r="I70">
            <v>-5.0600000000000005</v>
          </cell>
        </row>
        <row r="71">
          <cell r="H71">
            <v>295</v>
          </cell>
          <cell r="I71">
            <v>-5.2775000000000007</v>
          </cell>
        </row>
        <row r="72">
          <cell r="H72">
            <v>300</v>
          </cell>
          <cell r="I72">
            <v>-5.5000000000000018</v>
          </cell>
        </row>
      </sheetData>
      <sheetData sheetId="1">
        <row r="2">
          <cell r="A2">
            <v>70</v>
          </cell>
          <cell r="B2">
            <v>-0.44</v>
          </cell>
        </row>
        <row r="3">
          <cell r="A3">
            <v>80</v>
          </cell>
          <cell r="B3">
            <v>-0.44</v>
          </cell>
        </row>
        <row r="4">
          <cell r="A4">
            <v>90</v>
          </cell>
          <cell r="B4">
            <v>-0.46</v>
          </cell>
        </row>
        <row r="5">
          <cell r="A5">
            <v>100</v>
          </cell>
          <cell r="B5">
            <v>-0.5</v>
          </cell>
        </row>
        <row r="6">
          <cell r="A6">
            <v>110</v>
          </cell>
          <cell r="B6">
            <v>-0.56000000000000005</v>
          </cell>
        </row>
        <row r="7">
          <cell r="A7">
            <v>120</v>
          </cell>
          <cell r="B7">
            <v>-0.64</v>
          </cell>
        </row>
        <row r="8">
          <cell r="A8">
            <v>130</v>
          </cell>
          <cell r="B8">
            <v>-0.74</v>
          </cell>
        </row>
        <row r="9">
          <cell r="A9">
            <v>140</v>
          </cell>
          <cell r="B9">
            <v>-0.86</v>
          </cell>
        </row>
        <row r="10">
          <cell r="A10">
            <v>150</v>
          </cell>
          <cell r="B10">
            <v>-1</v>
          </cell>
        </row>
        <row r="11">
          <cell r="A11">
            <v>160</v>
          </cell>
          <cell r="B11">
            <v>-1.1599999999999999</v>
          </cell>
        </row>
        <row r="12">
          <cell r="A12">
            <v>170</v>
          </cell>
          <cell r="B12">
            <v>-1.34</v>
          </cell>
        </row>
        <row r="13">
          <cell r="A13">
            <v>180</v>
          </cell>
          <cell r="B13">
            <v>-1.54</v>
          </cell>
        </row>
        <row r="14">
          <cell r="A14">
            <v>200</v>
          </cell>
          <cell r="B14">
            <v>-2</v>
          </cell>
        </row>
        <row r="24">
          <cell r="J24">
            <v>60</v>
          </cell>
          <cell r="K24">
            <v>-0.46000000000000013</v>
          </cell>
        </row>
        <row r="25">
          <cell r="J25">
            <v>65</v>
          </cell>
          <cell r="K25">
            <v>-0.44750000000000001</v>
          </cell>
        </row>
        <row r="26">
          <cell r="J26">
            <v>70</v>
          </cell>
          <cell r="K26">
            <v>-0.44000000000000017</v>
          </cell>
        </row>
        <row r="27">
          <cell r="J27">
            <v>75</v>
          </cell>
          <cell r="K27">
            <v>-0.43750000000000017</v>
          </cell>
        </row>
        <row r="28">
          <cell r="J28">
            <v>80</v>
          </cell>
          <cell r="K28">
            <v>-0.44000000000000006</v>
          </cell>
        </row>
        <row r="29">
          <cell r="J29">
            <v>85</v>
          </cell>
          <cell r="K29">
            <v>-0.44749999999999979</v>
          </cell>
        </row>
        <row r="30">
          <cell r="J30">
            <v>90</v>
          </cell>
          <cell r="K30">
            <v>-0.45999999999999974</v>
          </cell>
        </row>
        <row r="31">
          <cell r="J31">
            <v>95</v>
          </cell>
          <cell r="K31">
            <v>-0.47749999999999976</v>
          </cell>
        </row>
        <row r="32">
          <cell r="J32">
            <v>100</v>
          </cell>
          <cell r="K32">
            <v>-0.49999999999999967</v>
          </cell>
        </row>
        <row r="33">
          <cell r="J33">
            <v>105</v>
          </cell>
          <cell r="K33">
            <v>-0.52749999999999975</v>
          </cell>
        </row>
        <row r="34">
          <cell r="J34">
            <v>110</v>
          </cell>
          <cell r="K34">
            <v>-0.55999999999999983</v>
          </cell>
        </row>
        <row r="35">
          <cell r="J35">
            <v>115</v>
          </cell>
          <cell r="K35">
            <v>-0.5974999999999997</v>
          </cell>
        </row>
        <row r="36">
          <cell r="J36">
            <v>120</v>
          </cell>
          <cell r="K36">
            <v>-0.63999999999999968</v>
          </cell>
        </row>
        <row r="37">
          <cell r="J37">
            <v>125</v>
          </cell>
          <cell r="K37">
            <v>-0.68749999999999978</v>
          </cell>
        </row>
        <row r="38">
          <cell r="J38">
            <v>130</v>
          </cell>
          <cell r="K38">
            <v>-0.73999999999999977</v>
          </cell>
        </row>
        <row r="39">
          <cell r="J39">
            <v>135</v>
          </cell>
          <cell r="K39">
            <v>-0.79749999999999976</v>
          </cell>
        </row>
        <row r="40">
          <cell r="J40">
            <v>140</v>
          </cell>
          <cell r="K40">
            <v>-0.86000000000000021</v>
          </cell>
        </row>
        <row r="41">
          <cell r="J41">
            <v>145</v>
          </cell>
          <cell r="K41">
            <v>-0.92749999999999988</v>
          </cell>
        </row>
        <row r="42">
          <cell r="J42">
            <v>150</v>
          </cell>
          <cell r="K42">
            <v>-1.0000000000000004</v>
          </cell>
        </row>
        <row r="43">
          <cell r="J43">
            <v>155</v>
          </cell>
          <cell r="K43">
            <v>-1.0774999999999999</v>
          </cell>
        </row>
        <row r="44">
          <cell r="J44">
            <v>160</v>
          </cell>
          <cell r="K44">
            <v>-1.1600000000000004</v>
          </cell>
        </row>
        <row r="45">
          <cell r="J45">
            <v>165</v>
          </cell>
          <cell r="K45">
            <v>-1.2475000000000001</v>
          </cell>
        </row>
        <row r="46">
          <cell r="J46">
            <v>170</v>
          </cell>
          <cell r="K46">
            <v>-1.3399999999999999</v>
          </cell>
        </row>
        <row r="47">
          <cell r="J47">
            <v>175</v>
          </cell>
          <cell r="K47">
            <v>-1.4375000000000002</v>
          </cell>
        </row>
        <row r="48">
          <cell r="J48">
            <v>180</v>
          </cell>
          <cell r="K48">
            <v>-1.5399999999999998</v>
          </cell>
        </row>
        <row r="49">
          <cell r="J49">
            <v>185</v>
          </cell>
          <cell r="K49">
            <v>-1.6475</v>
          </cell>
        </row>
        <row r="50">
          <cell r="J50">
            <v>190</v>
          </cell>
          <cell r="K50">
            <v>-1.7599999999999998</v>
          </cell>
        </row>
        <row r="51">
          <cell r="J51">
            <v>195</v>
          </cell>
          <cell r="K51">
            <v>-1.8774999999999999</v>
          </cell>
        </row>
        <row r="52">
          <cell r="J52">
            <v>200</v>
          </cell>
          <cell r="K52">
            <v>-1.9999999999999993</v>
          </cell>
        </row>
        <row r="53">
          <cell r="J53">
            <v>205</v>
          </cell>
          <cell r="K53">
            <v>-2.1275000000000004</v>
          </cell>
        </row>
        <row r="54">
          <cell r="J54">
            <v>210</v>
          </cell>
          <cell r="K54">
            <v>-2.2599999999999998</v>
          </cell>
        </row>
        <row r="55">
          <cell r="J55">
            <v>215</v>
          </cell>
          <cell r="K55">
            <v>-2.3974999999999991</v>
          </cell>
        </row>
        <row r="56">
          <cell r="J56">
            <v>220</v>
          </cell>
          <cell r="K56">
            <v>-2.5399999999999991</v>
          </cell>
        </row>
        <row r="57">
          <cell r="J57">
            <v>225</v>
          </cell>
          <cell r="K57">
            <v>-2.6874999999999991</v>
          </cell>
        </row>
        <row r="58">
          <cell r="J58">
            <v>230</v>
          </cell>
          <cell r="K58">
            <v>-2.839999999999999</v>
          </cell>
        </row>
        <row r="59">
          <cell r="J59">
            <v>235</v>
          </cell>
          <cell r="K59">
            <v>-2.9974999999999983</v>
          </cell>
        </row>
        <row r="60">
          <cell r="J60">
            <v>240</v>
          </cell>
          <cell r="K60">
            <v>-3.1599999999999979</v>
          </cell>
        </row>
        <row r="61">
          <cell r="J61">
            <v>245</v>
          </cell>
          <cell r="K61">
            <v>-3.3274999999999979</v>
          </cell>
        </row>
        <row r="62">
          <cell r="J62">
            <v>250</v>
          </cell>
          <cell r="K62">
            <v>-3.4999999999999969</v>
          </cell>
        </row>
        <row r="63">
          <cell r="J63">
            <v>255</v>
          </cell>
          <cell r="K63">
            <v>-3.6774999999999962</v>
          </cell>
        </row>
        <row r="64">
          <cell r="J64">
            <v>260</v>
          </cell>
          <cell r="K64">
            <v>-3.859999999999995</v>
          </cell>
        </row>
        <row r="65">
          <cell r="J65">
            <v>265</v>
          </cell>
          <cell r="K65">
            <v>-4.0474999999999959</v>
          </cell>
        </row>
        <row r="66">
          <cell r="J66">
            <v>270</v>
          </cell>
          <cell r="K66">
            <v>-4.239999999999994</v>
          </cell>
        </row>
        <row r="67">
          <cell r="J67">
            <v>275</v>
          </cell>
          <cell r="K67">
            <v>-4.4374999999999929</v>
          </cell>
        </row>
        <row r="68">
          <cell r="J68">
            <v>280</v>
          </cell>
          <cell r="K68">
            <v>-4.6399999999999935</v>
          </cell>
        </row>
        <row r="69">
          <cell r="J69">
            <v>285</v>
          </cell>
          <cell r="K69">
            <v>-4.8474999999999921</v>
          </cell>
        </row>
        <row r="70">
          <cell r="J70">
            <v>290</v>
          </cell>
          <cell r="K70">
            <v>-5.0599999999999898</v>
          </cell>
        </row>
        <row r="71">
          <cell r="J71">
            <v>295</v>
          </cell>
          <cell r="K71">
            <v>-5.2774999999999883</v>
          </cell>
        </row>
        <row r="72">
          <cell r="J72">
            <v>300</v>
          </cell>
          <cell r="K72">
            <v>-5.4999999999999893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EF90-07DC-4DA9-9EAB-D8C4207BECC7}">
  <dimension ref="A1:T52"/>
  <sheetViews>
    <sheetView tabSelected="1" workbookViewId="0">
      <selection activeCell="A7" sqref="A7"/>
    </sheetView>
  </sheetViews>
  <sheetFormatPr baseColWidth="10" defaultRowHeight="14.5" x14ac:dyDescent="0.35"/>
  <cols>
    <col min="1" max="1" width="4.7265625" customWidth="1"/>
    <col min="2" max="2" width="26.08984375" customWidth="1"/>
    <col min="3" max="5" width="8.90625" customWidth="1"/>
    <col min="7" max="7" width="4.7265625" customWidth="1"/>
    <col min="8" max="8" width="26.08984375" customWidth="1"/>
    <col min="9" max="11" width="9.08984375" customWidth="1"/>
    <col min="14" max="15" width="10.90625" style="9"/>
    <col min="18" max="18" width="10.90625" hidden="1" customWidth="1"/>
    <col min="19" max="19" width="10.90625" style="14"/>
  </cols>
  <sheetData>
    <row r="1" spans="1:20" x14ac:dyDescent="0.35">
      <c r="A1" s="10" t="s">
        <v>0</v>
      </c>
      <c r="G1" s="10" t="s">
        <v>9</v>
      </c>
      <c r="M1" s="10" t="s">
        <v>27</v>
      </c>
      <c r="N1" s="11" t="s">
        <v>28</v>
      </c>
      <c r="O1" s="11" t="s">
        <v>37</v>
      </c>
      <c r="Q1" s="11" t="s">
        <v>35</v>
      </c>
      <c r="R1" s="11" t="s">
        <v>18</v>
      </c>
      <c r="S1" s="13" t="s">
        <v>36</v>
      </c>
      <c r="T1" s="11"/>
    </row>
    <row r="2" spans="1:20" x14ac:dyDescent="0.35">
      <c r="B2" t="s">
        <v>2</v>
      </c>
      <c r="C2" t="s">
        <v>4</v>
      </c>
      <c r="D2" s="1">
        <v>55.555</v>
      </c>
      <c r="H2" t="s">
        <v>14</v>
      </c>
      <c r="I2" t="s">
        <v>11</v>
      </c>
      <c r="J2" s="6">
        <f>(k_pC - (W2_pC - W1_pC) / (V2_pC - V1_pC)) * 1 / (2*V1_pC - (V2_pC^2 - V1_pC^2)/(V2_pC - V1_pC))</f>
        <v>-9.9998999989999905E-5</v>
      </c>
      <c r="M2">
        <v>0</v>
      </c>
      <c r="O2" s="9">
        <f t="shared" ref="O2:O26" si="0">k_pC*M2</f>
        <v>0</v>
      </c>
      <c r="Q2">
        <v>0</v>
      </c>
      <c r="R2">
        <f t="shared" ref="R2:R33" si="1">b_pC - SQRT(4 * a_pC * (c_pC-Q2))</f>
        <v>-5.0000500005000052E-3</v>
      </c>
      <c r="S2" s="14">
        <f t="shared" ref="S2:S33" si="2">-(b_pC - R2) / (2 * a_pC)</f>
        <v>100</v>
      </c>
    </row>
    <row r="3" spans="1:20" x14ac:dyDescent="0.35">
      <c r="B3" t="s">
        <v>3</v>
      </c>
      <c r="C3" t="s">
        <v>1</v>
      </c>
      <c r="D3" s="2">
        <v>100</v>
      </c>
      <c r="E3" t="s">
        <v>8</v>
      </c>
      <c r="H3" t="s">
        <v>15</v>
      </c>
      <c r="I3" t="s">
        <v>12</v>
      </c>
      <c r="J3" s="6">
        <f>k_pC - 2*V1_pC*a_pC</f>
        <v>1.4999749997499975E-2</v>
      </c>
      <c r="M3">
        <f>M2+10</f>
        <v>10</v>
      </c>
      <c r="O3" s="9">
        <f t="shared" si="0"/>
        <v>-5.0000500005000052E-2</v>
      </c>
      <c r="Q3">
        <f>Q2+0.1</f>
        <v>0.1</v>
      </c>
      <c r="R3">
        <f t="shared" si="1"/>
        <v>-5.9762267367548562E-3</v>
      </c>
      <c r="S3" s="14">
        <f t="shared" si="2"/>
        <v>104.88093249108726</v>
      </c>
    </row>
    <row r="4" spans="1:20" x14ac:dyDescent="0.35">
      <c r="B4" t="s">
        <v>10</v>
      </c>
      <c r="C4" t="s">
        <v>5</v>
      </c>
      <c r="D4" s="2">
        <v>200</v>
      </c>
      <c r="E4" t="s">
        <v>8</v>
      </c>
      <c r="H4" t="s">
        <v>16</v>
      </c>
      <c r="I4" t="s">
        <v>13</v>
      </c>
      <c r="J4" s="6">
        <f>W1_pC - a_pC*V1_pC^2 - b_pC*V1_pC</f>
        <v>-0.99998999989999882</v>
      </c>
      <c r="M4">
        <f t="shared" ref="M4:M26" si="3">M3+10</f>
        <v>20</v>
      </c>
      <c r="O4" s="9">
        <f t="shared" si="0"/>
        <v>-0.1000010000100001</v>
      </c>
      <c r="Q4">
        <f t="shared" ref="Q4:Q52" si="4">Q3+0.1</f>
        <v>0.2</v>
      </c>
      <c r="R4">
        <f t="shared" si="1"/>
        <v>-6.908951469086308E-3</v>
      </c>
      <c r="S4" s="14">
        <f t="shared" si="2"/>
        <v>109.54460278991388</v>
      </c>
    </row>
    <row r="5" spans="1:20" ht="29" x14ac:dyDescent="0.35">
      <c r="B5" s="3" t="s">
        <v>17</v>
      </c>
      <c r="C5" s="4" t="s">
        <v>6</v>
      </c>
      <c r="D5" s="5">
        <v>-2</v>
      </c>
      <c r="E5" s="4" t="s">
        <v>7</v>
      </c>
      <c r="M5">
        <f t="shared" si="3"/>
        <v>30</v>
      </c>
      <c r="O5" s="9">
        <f t="shared" si="0"/>
        <v>-0.15000150001500015</v>
      </c>
      <c r="Q5">
        <f t="shared" si="4"/>
        <v>0.30000000000000004</v>
      </c>
      <c r="R5">
        <f t="shared" si="1"/>
        <v>-7.8035567791059114E-3</v>
      </c>
      <c r="S5" s="14">
        <f t="shared" si="2"/>
        <v>114.01767407117202</v>
      </c>
    </row>
    <row r="6" spans="1:20" x14ac:dyDescent="0.35">
      <c r="B6" s="4"/>
      <c r="C6" s="4" t="s">
        <v>34</v>
      </c>
      <c r="D6" s="4">
        <f>-1/(GR1_pC * 3.6)</f>
        <v>-5.0000500005000052E-3</v>
      </c>
      <c r="E6" s="4"/>
      <c r="M6">
        <f t="shared" si="3"/>
        <v>40</v>
      </c>
      <c r="O6" s="9">
        <f t="shared" si="0"/>
        <v>-0.20000200002000021</v>
      </c>
      <c r="Q6">
        <f t="shared" si="4"/>
        <v>0.4</v>
      </c>
      <c r="R6">
        <f t="shared" si="1"/>
        <v>-8.6643662958248158E-3</v>
      </c>
      <c r="S6" s="14">
        <f t="shared" si="2"/>
        <v>118.3217646961032</v>
      </c>
    </row>
    <row r="7" spans="1:20" ht="29" x14ac:dyDescent="0.35">
      <c r="B7" s="3" t="s">
        <v>33</v>
      </c>
      <c r="C7" s="4" t="s">
        <v>19</v>
      </c>
      <c r="D7" s="5">
        <f xml:space="preserve"> -V1_pC / (GR1_pC * 3.6)</f>
        <v>-0.50000500005000048</v>
      </c>
      <c r="E7" s="4" t="s">
        <v>7</v>
      </c>
      <c r="M7">
        <f t="shared" si="3"/>
        <v>50</v>
      </c>
      <c r="N7" s="9">
        <f t="shared" ref="N7:N26" si="5">a_pC*M7^2+b_pC*M7+c_pC</f>
        <v>-0.49999999999999989</v>
      </c>
      <c r="O7" s="9">
        <f t="shared" si="0"/>
        <v>-0.25000250002500024</v>
      </c>
      <c r="Q7">
        <f t="shared" si="4"/>
        <v>0.5</v>
      </c>
      <c r="R7">
        <f t="shared" si="1"/>
        <v>-9.4949433041112904E-3</v>
      </c>
      <c r="S7" s="14">
        <f t="shared" si="2"/>
        <v>122.47469126721658</v>
      </c>
    </row>
    <row r="8" spans="1:20" x14ac:dyDescent="0.35">
      <c r="M8">
        <f t="shared" si="3"/>
        <v>60</v>
      </c>
      <c r="N8" s="9">
        <f t="shared" si="5"/>
        <v>-0.46000140001400003</v>
      </c>
      <c r="O8" s="9">
        <f t="shared" si="0"/>
        <v>-0.3000030000300003</v>
      </c>
      <c r="Q8">
        <f t="shared" si="4"/>
        <v>0.6</v>
      </c>
      <c r="R8">
        <f t="shared" si="1"/>
        <v>-1.0298265733699175E-2</v>
      </c>
      <c r="S8" s="14">
        <f t="shared" si="2"/>
        <v>126.49134358208083</v>
      </c>
    </row>
    <row r="9" spans="1:20" x14ac:dyDescent="0.35">
      <c r="G9" s="10" t="s">
        <v>20</v>
      </c>
      <c r="M9">
        <f t="shared" si="3"/>
        <v>70</v>
      </c>
      <c r="N9" s="9">
        <f t="shared" si="5"/>
        <v>-0.44000260002600011</v>
      </c>
      <c r="O9" s="9">
        <f t="shared" si="0"/>
        <v>-0.35000350003500036</v>
      </c>
      <c r="Q9">
        <f t="shared" si="4"/>
        <v>0.7</v>
      </c>
      <c r="R9">
        <f t="shared" si="1"/>
        <v>-1.1076852540637536E-2</v>
      </c>
      <c r="S9" s="14">
        <f t="shared" si="2"/>
        <v>130.38431654689157</v>
      </c>
    </row>
    <row r="10" spans="1:20" x14ac:dyDescent="0.35">
      <c r="H10" t="s">
        <v>21</v>
      </c>
      <c r="I10" t="s">
        <v>1</v>
      </c>
      <c r="J10" s="2">
        <v>100</v>
      </c>
      <c r="K10" t="s">
        <v>8</v>
      </c>
      <c r="M10">
        <f t="shared" si="3"/>
        <v>80</v>
      </c>
      <c r="N10" s="9">
        <f t="shared" si="5"/>
        <v>-0.44000360003600014</v>
      </c>
      <c r="O10" s="9">
        <f t="shared" si="0"/>
        <v>-0.40000400004000042</v>
      </c>
      <c r="Q10">
        <f t="shared" si="4"/>
        <v>0.79999999999999993</v>
      </c>
      <c r="R10">
        <f t="shared" si="1"/>
        <v>-1.1832857030666329E-2</v>
      </c>
      <c r="S10" s="14">
        <f t="shared" si="2"/>
        <v>134.16437679801606</v>
      </c>
    </row>
    <row r="11" spans="1:20" x14ac:dyDescent="0.35">
      <c r="H11" t="s">
        <v>22</v>
      </c>
      <c r="I11" t="s">
        <v>19</v>
      </c>
      <c r="J11" s="7" cm="1">
        <f t="array" ref="J11">a_pC * J10^2 + b_pC*J10 + c_pC</f>
        <v>-0.50000500005000048</v>
      </c>
      <c r="K11" t="s">
        <v>7</v>
      </c>
      <c r="M11">
        <f t="shared" si="3"/>
        <v>90</v>
      </c>
      <c r="N11" s="9">
        <f t="shared" si="5"/>
        <v>-0.46000440004400023</v>
      </c>
      <c r="O11" s="9">
        <f t="shared" si="0"/>
        <v>-0.45000450004500048</v>
      </c>
      <c r="Q11">
        <f t="shared" si="4"/>
        <v>0.89999999999999991</v>
      </c>
      <c r="R11">
        <f t="shared" si="1"/>
        <v>-1.2568137116386713E-2</v>
      </c>
      <c r="S11" s="14">
        <f t="shared" si="2"/>
        <v>137.84081399135758</v>
      </c>
    </row>
    <row r="12" spans="1:20" x14ac:dyDescent="0.35">
      <c r="H12" t="s">
        <v>23</v>
      </c>
      <c r="I12" t="s">
        <v>5</v>
      </c>
      <c r="J12" s="2">
        <v>150</v>
      </c>
      <c r="K12" t="s">
        <v>8</v>
      </c>
      <c r="M12">
        <f t="shared" si="3"/>
        <v>100</v>
      </c>
      <c r="N12" s="9">
        <f t="shared" si="5"/>
        <v>-0.50000500005000048</v>
      </c>
      <c r="O12" s="9">
        <f t="shared" si="0"/>
        <v>-0.50000500005000048</v>
      </c>
      <c r="Q12">
        <f t="shared" si="4"/>
        <v>0.99999999999999989</v>
      </c>
      <c r="R12">
        <f t="shared" si="1"/>
        <v>-1.3284309115717836E-2</v>
      </c>
      <c r="S12" s="14">
        <f t="shared" si="2"/>
        <v>141.42170979732933</v>
      </c>
    </row>
    <row r="13" spans="1:20" x14ac:dyDescent="0.35">
      <c r="H13" t="s">
        <v>24</v>
      </c>
      <c r="I13" t="s">
        <v>6</v>
      </c>
      <c r="J13" s="7" cm="1">
        <f t="array" ref="J13">a_pC * J12^2 + b_pC*J12 + c_pC</f>
        <v>-1.0000050000500005</v>
      </c>
      <c r="K13" t="s">
        <v>7</v>
      </c>
      <c r="M13">
        <f t="shared" si="3"/>
        <v>110</v>
      </c>
      <c r="N13" s="9">
        <f t="shared" si="5"/>
        <v>-0.56000540005400046</v>
      </c>
      <c r="O13" s="9">
        <f t="shared" si="0"/>
        <v>-0.5500055000550006</v>
      </c>
      <c r="Q13">
        <f t="shared" si="4"/>
        <v>1.0999999999999999</v>
      </c>
      <c r="R13">
        <f t="shared" si="1"/>
        <v>-1.3982789572316877E-2</v>
      </c>
      <c r="S13" s="14">
        <f t="shared" si="2"/>
        <v>144.91414700504586</v>
      </c>
    </row>
    <row r="14" spans="1:20" x14ac:dyDescent="0.35">
      <c r="H14" t="s">
        <v>23</v>
      </c>
      <c r="I14" t="s">
        <v>25</v>
      </c>
      <c r="J14" s="2">
        <v>200</v>
      </c>
      <c r="K14" t="s">
        <v>8</v>
      </c>
      <c r="M14">
        <f t="shared" si="3"/>
        <v>120</v>
      </c>
      <c r="N14" s="9">
        <f t="shared" si="5"/>
        <v>-0.6400056000560006</v>
      </c>
      <c r="O14" s="9">
        <f t="shared" si="0"/>
        <v>-0.6000060000600006</v>
      </c>
      <c r="Q14">
        <f t="shared" si="4"/>
        <v>1.2</v>
      </c>
      <c r="R14">
        <f t="shared" si="1"/>
        <v>-1.4664828204658899E-2</v>
      </c>
      <c r="S14" s="14">
        <f t="shared" si="2"/>
        <v>148.32437426936963</v>
      </c>
    </row>
    <row r="15" spans="1:20" x14ac:dyDescent="0.35">
      <c r="H15" t="s">
        <v>24</v>
      </c>
      <c r="I15" t="s">
        <v>26</v>
      </c>
      <c r="J15" s="7" cm="1">
        <f t="array" ref="J15">a_pC * J14^2 + b_pC*J14 + c_pC</f>
        <v>-2</v>
      </c>
      <c r="K15" t="s">
        <v>7</v>
      </c>
      <c r="M15">
        <f t="shared" si="3"/>
        <v>130</v>
      </c>
      <c r="N15" s="9">
        <f t="shared" si="5"/>
        <v>-0.74000560005600047</v>
      </c>
      <c r="O15" s="9">
        <f t="shared" si="0"/>
        <v>-0.65000650006500071</v>
      </c>
      <c r="Q15">
        <f t="shared" si="4"/>
        <v>1.3</v>
      </c>
      <c r="R15">
        <f t="shared" si="1"/>
        <v>-1.5331534180852899E-2</v>
      </c>
      <c r="S15" s="14">
        <f t="shared" si="2"/>
        <v>151.65793748630517</v>
      </c>
    </row>
    <row r="16" spans="1:20" x14ac:dyDescent="0.35">
      <c r="M16">
        <f t="shared" si="3"/>
        <v>140</v>
      </c>
      <c r="N16" s="9">
        <f t="shared" si="5"/>
        <v>-0.8600054000540005</v>
      </c>
      <c r="O16" s="9">
        <f t="shared" si="0"/>
        <v>-0.70000700007000072</v>
      </c>
      <c r="Q16">
        <f t="shared" si="4"/>
        <v>1.4000000000000001</v>
      </c>
      <c r="R16">
        <f t="shared" si="1"/>
        <v>-1.5983897300776571E-2</v>
      </c>
      <c r="S16" s="14">
        <f t="shared" si="2"/>
        <v>154.91978570473191</v>
      </c>
    </row>
    <row r="17" spans="7:19" x14ac:dyDescent="0.35">
      <c r="M17">
        <f t="shared" si="3"/>
        <v>150</v>
      </c>
      <c r="N17" s="9">
        <f t="shared" si="5"/>
        <v>-1.0000050000500005</v>
      </c>
      <c r="O17" s="9">
        <f t="shared" si="0"/>
        <v>-0.75000750007500083</v>
      </c>
      <c r="Q17">
        <f t="shared" si="4"/>
        <v>1.5000000000000002</v>
      </c>
      <c r="R17">
        <f t="shared" si="1"/>
        <v>-1.6622805242391684E-2</v>
      </c>
      <c r="S17" s="14">
        <f t="shared" si="2"/>
        <v>158.11435735884348</v>
      </c>
    </row>
    <row r="18" spans="7:19" x14ac:dyDescent="0.35">
      <c r="M18">
        <f t="shared" si="3"/>
        <v>160</v>
      </c>
      <c r="N18" s="9">
        <f t="shared" si="5"/>
        <v>-1.1600044000440002</v>
      </c>
      <c r="O18" s="9">
        <f t="shared" si="0"/>
        <v>-0.80000800008000084</v>
      </c>
      <c r="Q18">
        <f t="shared" si="4"/>
        <v>1.6000000000000003</v>
      </c>
      <c r="R18">
        <f t="shared" si="1"/>
        <v>-1.7249057730786655E-2</v>
      </c>
      <c r="S18" s="14">
        <f t="shared" si="2"/>
        <v>161.24565111406901</v>
      </c>
    </row>
    <row r="19" spans="7:19" x14ac:dyDescent="0.35">
      <c r="G19" s="10" t="s">
        <v>39</v>
      </c>
      <c r="M19">
        <f t="shared" si="3"/>
        <v>170</v>
      </c>
      <c r="N19" s="9">
        <f t="shared" si="5"/>
        <v>-1.3400036000360005</v>
      </c>
      <c r="O19" s="9">
        <f t="shared" si="0"/>
        <v>-0.85000850008500084</v>
      </c>
      <c r="Q19">
        <f t="shared" si="4"/>
        <v>1.7000000000000004</v>
      </c>
      <c r="R19">
        <f t="shared" si="1"/>
        <v>-1.786337827556617E-2</v>
      </c>
      <c r="S19" s="14">
        <f t="shared" si="2"/>
        <v>164.31728455460816</v>
      </c>
    </row>
    <row r="20" spans="7:19" x14ac:dyDescent="0.35">
      <c r="H20" t="s">
        <v>2</v>
      </c>
      <c r="I20" t="s">
        <v>4</v>
      </c>
      <c r="J20" s="7">
        <f>GR1_pC</f>
        <v>55.555</v>
      </c>
      <c r="M20">
        <f t="shared" si="3"/>
        <v>180</v>
      </c>
      <c r="N20" s="9">
        <f t="shared" si="5"/>
        <v>-1.5400026000260001</v>
      </c>
      <c r="O20" s="9">
        <f t="shared" si="0"/>
        <v>-0.90000900009000095</v>
      </c>
      <c r="Q20">
        <f t="shared" si="4"/>
        <v>1.8000000000000005</v>
      </c>
      <c r="R20">
        <f t="shared" si="1"/>
        <v>-1.8466423967983436E-2</v>
      </c>
      <c r="S20" s="14">
        <f t="shared" si="2"/>
        <v>167.33254316958215</v>
      </c>
    </row>
    <row r="21" spans="7:19" x14ac:dyDescent="0.35">
      <c r="H21" t="s">
        <v>3</v>
      </c>
      <c r="I21" t="s">
        <v>1</v>
      </c>
      <c r="J21" s="8">
        <f>V1_pC</f>
        <v>100</v>
      </c>
      <c r="K21" t="s">
        <v>8</v>
      </c>
      <c r="M21">
        <f t="shared" si="3"/>
        <v>190</v>
      </c>
      <c r="N21" s="9">
        <f t="shared" si="5"/>
        <v>-1.7600014000140003</v>
      </c>
      <c r="O21" s="9">
        <f t="shared" si="0"/>
        <v>-0.95000950009500096</v>
      </c>
      <c r="Q21">
        <f t="shared" si="4"/>
        <v>1.9000000000000006</v>
      </c>
      <c r="R21">
        <f t="shared" si="1"/>
        <v>-1.9058793715994286E-2</v>
      </c>
      <c r="S21" s="14">
        <f t="shared" si="2"/>
        <v>170.29442152871619</v>
      </c>
    </row>
    <row r="22" spans="7:19" x14ac:dyDescent="0.35">
      <c r="M22">
        <f t="shared" si="3"/>
        <v>200</v>
      </c>
      <c r="N22" s="9">
        <f t="shared" si="5"/>
        <v>-2</v>
      </c>
      <c r="O22" s="9">
        <f t="shared" si="0"/>
        <v>-1.000010000100001</v>
      </c>
      <c r="Q22">
        <f t="shared" si="4"/>
        <v>2.0000000000000004</v>
      </c>
      <c r="R22">
        <f t="shared" si="1"/>
        <v>-1.9641035211268022E-2</v>
      </c>
      <c r="S22" s="14">
        <f t="shared" si="2"/>
        <v>173.20565811774188</v>
      </c>
    </row>
    <row r="23" spans="7:19" x14ac:dyDescent="0.35">
      <c r="H23" t="s">
        <v>40</v>
      </c>
      <c r="I23" t="s">
        <v>41</v>
      </c>
      <c r="J23" s="7">
        <f>a_pC*V0_pC^2+b_pC*V0_pC+c_pC</f>
        <v>-0.43750312500624944</v>
      </c>
      <c r="K23" t="s">
        <v>7</v>
      </c>
      <c r="M23">
        <f t="shared" si="3"/>
        <v>210</v>
      </c>
      <c r="N23" s="9">
        <f t="shared" si="5"/>
        <v>-2.2599983999839992</v>
      </c>
      <c r="O23" s="9">
        <f t="shared" si="0"/>
        <v>-1.0500105001050011</v>
      </c>
      <c r="Q23">
        <f t="shared" si="4"/>
        <v>2.1000000000000005</v>
      </c>
      <c r="R23">
        <f t="shared" si="1"/>
        <v>-2.0213650858935336E-2</v>
      </c>
      <c r="S23" s="14">
        <f t="shared" si="2"/>
        <v>176.06876498743347</v>
      </c>
    </row>
    <row r="24" spans="7:19" x14ac:dyDescent="0.35">
      <c r="H24" t="s">
        <v>42</v>
      </c>
      <c r="I24" t="s">
        <v>43</v>
      </c>
      <c r="J24" s="15">
        <f>-b_pC/(2*a_pC)</f>
        <v>74.999499989999791</v>
      </c>
      <c r="K24" t="s">
        <v>8</v>
      </c>
      <c r="M24">
        <f t="shared" si="3"/>
        <v>220</v>
      </c>
      <c r="N24" s="9">
        <f t="shared" si="5"/>
        <v>-2.5399965999659999</v>
      </c>
      <c r="O24" s="9">
        <f t="shared" si="0"/>
        <v>-1.1000110001100012</v>
      </c>
      <c r="Q24">
        <f t="shared" si="4"/>
        <v>2.2000000000000006</v>
      </c>
      <c r="R24">
        <f t="shared" si="1"/>
        <v>-2.077710285279975E-2</v>
      </c>
      <c r="S24" s="14">
        <f t="shared" si="2"/>
        <v>178.88605312991871</v>
      </c>
    </row>
    <row r="25" spans="7:19" x14ac:dyDescent="0.35">
      <c r="M25">
        <f t="shared" si="3"/>
        <v>230</v>
      </c>
      <c r="N25" s="9">
        <f t="shared" si="5"/>
        <v>-2.8399945999459995</v>
      </c>
      <c r="O25" s="9">
        <f t="shared" si="0"/>
        <v>-1.1500115001150013</v>
      </c>
      <c r="Q25">
        <f t="shared" si="4"/>
        <v>2.3000000000000007</v>
      </c>
      <c r="R25">
        <f t="shared" si="1"/>
        <v>-2.1331817541872713E-2</v>
      </c>
      <c r="S25" s="14">
        <f t="shared" si="2"/>
        <v>181.65965431157269</v>
      </c>
    </row>
    <row r="26" spans="7:19" x14ac:dyDescent="0.35">
      <c r="M26">
        <f t="shared" si="3"/>
        <v>240</v>
      </c>
      <c r="N26" s="9">
        <f t="shared" si="5"/>
        <v>-3.1599923999239996</v>
      </c>
      <c r="O26" s="9">
        <f t="shared" si="0"/>
        <v>-1.2000120001200012</v>
      </c>
      <c r="Q26">
        <f t="shared" si="4"/>
        <v>2.4000000000000008</v>
      </c>
      <c r="R26">
        <f t="shared" si="1"/>
        <v>-2.1878189205552023E-2</v>
      </c>
      <c r="S26" s="14">
        <f t="shared" si="2"/>
        <v>184.39153994909881</v>
      </c>
    </row>
    <row r="27" spans="7:19" x14ac:dyDescent="0.35">
      <c r="Q27">
        <f t="shared" si="4"/>
        <v>2.5000000000000009</v>
      </c>
      <c r="R27">
        <f t="shared" si="1"/>
        <v>-2.2416583332477712E-2</v>
      </c>
      <c r="S27" s="14">
        <f t="shared" si="2"/>
        <v>187.083537503972</v>
      </c>
    </row>
    <row r="28" spans="7:19" x14ac:dyDescent="0.35">
      <c r="Q28">
        <f t="shared" si="4"/>
        <v>2.600000000000001</v>
      </c>
      <c r="R28">
        <f t="shared" si="1"/>
        <v>-2.2947339480561438E-2</v>
      </c>
      <c r="S28" s="14">
        <f t="shared" si="2"/>
        <v>189.7373447827288</v>
      </c>
    </row>
    <row r="29" spans="7:19" x14ac:dyDescent="0.35">
      <c r="Q29">
        <f t="shared" si="4"/>
        <v>2.7000000000000011</v>
      </c>
      <c r="R29">
        <f t="shared" si="1"/>
        <v>-2.3470773781778091E-2</v>
      </c>
      <c r="S29" s="14">
        <f t="shared" si="2"/>
        <v>192.35454246105058</v>
      </c>
    </row>
    <row r="30" spans="7:19" x14ac:dyDescent="0.35">
      <c r="Q30">
        <f t="shared" si="4"/>
        <v>2.8000000000000012</v>
      </c>
      <c r="R30">
        <f t="shared" si="1"/>
        <v>-2.3987181144204412E-2</v>
      </c>
      <c r="S30" s="14">
        <f t="shared" si="2"/>
        <v>194.93660509406672</v>
      </c>
    </row>
    <row r="31" spans="7:19" x14ac:dyDescent="0.35">
      <c r="Q31">
        <f t="shared" si="4"/>
        <v>2.9000000000000012</v>
      </c>
      <c r="R31">
        <f t="shared" si="1"/>
        <v>-2.4496837194863865E-2</v>
      </c>
      <c r="S31" s="14">
        <f t="shared" si="2"/>
        <v>197.4849108306762</v>
      </c>
    </row>
    <row r="32" spans="7:19" x14ac:dyDescent="0.35">
      <c r="Q32">
        <f t="shared" si="4"/>
        <v>3.0000000000000013</v>
      </c>
      <c r="R32">
        <f t="shared" si="1"/>
        <v>-2.4999999999718751E-2</v>
      </c>
      <c r="S32" s="14">
        <f t="shared" si="2"/>
        <v>200.00075001359403</v>
      </c>
    </row>
    <row r="33" spans="17:19" x14ac:dyDescent="0.35">
      <c r="Q33">
        <f t="shared" si="4"/>
        <v>3.1000000000000014</v>
      </c>
      <c r="R33">
        <f t="shared" si="1"/>
        <v>-2.5496911591277923E-2</v>
      </c>
      <c r="S33" s="14">
        <f t="shared" si="2"/>
        <v>202.4853328174664</v>
      </c>
    </row>
    <row r="34" spans="17:19" x14ac:dyDescent="0.35">
      <c r="Q34">
        <f t="shared" si="4"/>
        <v>3.2000000000000015</v>
      </c>
      <c r="R34">
        <f t="shared" ref="R34:R52" si="6">b_pC - SQRT(4 * a_pC * (c_pC-Q34))</f>
        <v>-2.5987799329484671E-2</v>
      </c>
      <c r="S34" s="14">
        <f t="shared" ref="S34:S52" si="7">-(b_pC - R34) / (2 * a_pC)</f>
        <v>204.93979605337793</v>
      </c>
    </row>
    <row r="35" spans="17:19" x14ac:dyDescent="0.35">
      <c r="Q35">
        <f t="shared" si="4"/>
        <v>3.3000000000000016</v>
      </c>
      <c r="R35">
        <f t="shared" si="6"/>
        <v>-2.6472877117598475E-2</v>
      </c>
      <c r="S35" s="14">
        <f t="shared" si="7"/>
        <v>207.36520924832146</v>
      </c>
    </row>
    <row r="36" spans="17:19" x14ac:dyDescent="0.35">
      <c r="Q36">
        <f t="shared" si="4"/>
        <v>3.4000000000000017</v>
      </c>
      <c r="R36">
        <f t="shared" si="6"/>
        <v>-2.695234649151949E-2</v>
      </c>
      <c r="S36" s="14">
        <f t="shared" si="7"/>
        <v>209.7625800918747</v>
      </c>
    </row>
    <row r="37" spans="17:19" x14ac:dyDescent="0.35">
      <c r="Q37">
        <f t="shared" si="4"/>
        <v>3.5000000000000018</v>
      </c>
      <c r="R37">
        <f t="shared" si="6"/>
        <v>-2.7426397598292875E-2</v>
      </c>
      <c r="S37" s="14">
        <f t="shared" si="7"/>
        <v>212.13285932877102</v>
      </c>
    </row>
    <row r="38" spans="17:19" x14ac:dyDescent="0.35">
      <c r="Q38">
        <f t="shared" si="4"/>
        <v>3.6000000000000019</v>
      </c>
      <c r="R38">
        <f t="shared" si="6"/>
        <v>-2.7895210077268712E-2</v>
      </c>
      <c r="S38" s="14">
        <f t="shared" si="7"/>
        <v>214.47694516474297</v>
      </c>
    </row>
    <row r="39" spans="17:19" x14ac:dyDescent="0.35">
      <c r="Q39">
        <f t="shared" si="4"/>
        <v>3.700000000000002</v>
      </c>
      <c r="R39">
        <f t="shared" si="6"/>
        <v>-2.835895385549821E-2</v>
      </c>
      <c r="S39" s="14">
        <f t="shared" si="7"/>
        <v>216.79568724354314</v>
      </c>
    </row>
    <row r="40" spans="17:19" x14ac:dyDescent="0.35">
      <c r="Q40">
        <f t="shared" si="4"/>
        <v>3.800000000000002</v>
      </c>
      <c r="R40">
        <f t="shared" si="6"/>
        <v>-2.8817789867353224E-2</v>
      </c>
      <c r="S40" s="14">
        <f t="shared" si="7"/>
        <v>219.08989024507764</v>
      </c>
    </row>
    <row r="41" spans="17:19" x14ac:dyDescent="0.35">
      <c r="Q41">
        <f t="shared" si="4"/>
        <v>3.9000000000000021</v>
      </c>
      <c r="R41">
        <f t="shared" si="6"/>
        <v>-2.9271870707010036E-2</v>
      </c>
      <c r="S41" s="14">
        <f t="shared" si="7"/>
        <v>221.36031714785778</v>
      </c>
    </row>
    <row r="42" spans="17:19" x14ac:dyDescent="0.35">
      <c r="Q42">
        <f t="shared" si="4"/>
        <v>4.0000000000000018</v>
      </c>
      <c r="R42">
        <f t="shared" si="6"/>
        <v>-2.9721341221297441E-2</v>
      </c>
      <c r="S42" s="14">
        <f t="shared" si="7"/>
        <v>223.60769219327</v>
      </c>
    </row>
    <row r="43" spans="17:19" x14ac:dyDescent="0.35">
      <c r="Q43">
        <f t="shared" si="4"/>
        <v>4.1000000000000014</v>
      </c>
      <c r="R43">
        <f t="shared" si="6"/>
        <v>-3.0166339049438756E-2</v>
      </c>
      <c r="S43" s="14">
        <f t="shared" si="7"/>
        <v>225.83270358431298</v>
      </c>
    </row>
    <row r="44" spans="17:19" x14ac:dyDescent="0.35">
      <c r="Q44">
        <f t="shared" si="4"/>
        <v>4.2000000000000011</v>
      </c>
      <c r="R44">
        <f t="shared" si="6"/>
        <v>-3.0606995115388742E-2</v>
      </c>
      <c r="S44" s="14">
        <f t="shared" si="7"/>
        <v>228.03600594730688</v>
      </c>
    </row>
    <row r="45" spans="17:19" x14ac:dyDescent="0.35">
      <c r="Q45">
        <f t="shared" si="4"/>
        <v>4.3000000000000007</v>
      </c>
      <c r="R45">
        <f t="shared" si="6"/>
        <v>-3.1043434077757014E-2</v>
      </c>
      <c r="S45" s="14">
        <f t="shared" si="7"/>
        <v>230.21822258153281</v>
      </c>
    </row>
    <row r="46" spans="17:19" x14ac:dyDescent="0.35">
      <c r="Q46">
        <f t="shared" si="4"/>
        <v>4.4000000000000004</v>
      </c>
      <c r="R46">
        <f t="shared" si="6"/>
        <v>-3.1475774741700102E-2</v>
      </c>
      <c r="S46" s="14">
        <f t="shared" si="7"/>
        <v>232.37994751871381</v>
      </c>
    </row>
    <row r="47" spans="17:19" x14ac:dyDescent="0.35">
      <c r="Q47">
        <f t="shared" si="4"/>
        <v>4.5</v>
      </c>
      <c r="R47">
        <f t="shared" si="6"/>
        <v>-3.1904130436638922E-2</v>
      </c>
      <c r="S47" s="14">
        <f t="shared" si="7"/>
        <v>234.52174741162102</v>
      </c>
    </row>
    <row r="48" spans="17:19" x14ac:dyDescent="0.35">
      <c r="Q48">
        <f t="shared" si="4"/>
        <v>4.5999999999999996</v>
      </c>
      <c r="R48">
        <f t="shared" si="6"/>
        <v>-3.2328609363204655E-2</v>
      </c>
      <c r="S48" s="14">
        <f t="shared" si="7"/>
        <v>236.64416326882051</v>
      </c>
    </row>
    <row r="49" spans="17:19" x14ac:dyDescent="0.35">
      <c r="Q49">
        <f t="shared" si="4"/>
        <v>4.6999999999999993</v>
      </c>
      <c r="R49">
        <f t="shared" si="6"/>
        <v>-3.2749314912422584E-2</v>
      </c>
      <c r="S49" s="14">
        <f t="shared" si="7"/>
        <v>238.7477120506083</v>
      </c>
    </row>
    <row r="50" spans="17:19" x14ac:dyDescent="0.35">
      <c r="Q50">
        <f t="shared" si="4"/>
        <v>4.7999999999999989</v>
      </c>
      <c r="R50">
        <f t="shared" si="6"/>
        <v>-3.3166345959801752E-2</v>
      </c>
      <c r="S50" s="14">
        <f t="shared" si="7"/>
        <v>240.83288813947357</v>
      </c>
    </row>
    <row r="51" spans="17:19" x14ac:dyDescent="0.35">
      <c r="Q51">
        <f t="shared" si="4"/>
        <v>4.8999999999999986</v>
      </c>
      <c r="R51">
        <f t="shared" si="6"/>
        <v>-3.3579797136700423E-2</v>
      </c>
      <c r="S51" s="14">
        <f t="shared" si="7"/>
        <v>242.90016469693921</v>
      </c>
    </row>
    <row r="52" spans="17:19" x14ac:dyDescent="0.35">
      <c r="Q52">
        <f t="shared" si="4"/>
        <v>4.9999999999999982</v>
      </c>
      <c r="R52">
        <f t="shared" si="6"/>
        <v>-3.3989759081077223E-2</v>
      </c>
      <c r="S52" s="14">
        <f t="shared" si="7"/>
        <v>244.9499949173304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5455-21A3-4088-B899-B2189D162A84}">
  <dimension ref="A1:T26"/>
  <sheetViews>
    <sheetView topLeftCell="A9" workbookViewId="0">
      <selection activeCell="G21" sqref="G21:K26"/>
    </sheetView>
  </sheetViews>
  <sheetFormatPr baseColWidth="10" defaultRowHeight="14.5" x14ac:dyDescent="0.35"/>
  <cols>
    <col min="1" max="1" width="4.7265625" customWidth="1"/>
    <col min="2" max="2" width="26.08984375" customWidth="1"/>
    <col min="3" max="5" width="9.08984375" customWidth="1"/>
    <col min="7" max="7" width="4.7265625" customWidth="1"/>
    <col min="8" max="8" width="26.08984375" customWidth="1"/>
    <col min="9" max="11" width="9.08984375" customWidth="1"/>
  </cols>
  <sheetData>
    <row r="1" spans="1:20" x14ac:dyDescent="0.35">
      <c r="A1" s="10" t="s">
        <v>20</v>
      </c>
      <c r="G1" s="10" t="s">
        <v>9</v>
      </c>
      <c r="P1" t="s">
        <v>29</v>
      </c>
      <c r="T1" t="s">
        <v>31</v>
      </c>
    </row>
    <row r="2" spans="1:20" x14ac:dyDescent="0.35">
      <c r="B2" t="s">
        <v>21</v>
      </c>
      <c r="C2" s="4" t="s">
        <v>1</v>
      </c>
      <c r="D2" s="2">
        <v>100</v>
      </c>
      <c r="E2" t="s">
        <v>8</v>
      </c>
      <c r="H2" t="s">
        <v>14</v>
      </c>
      <c r="I2" t="s">
        <v>11</v>
      </c>
      <c r="J2" s="6">
        <f>T7</f>
        <v>-9.9999999999999991E-5</v>
      </c>
      <c r="P2">
        <f>V1_pR^2</f>
        <v>10000</v>
      </c>
      <c r="Q2">
        <f>V1_pR</f>
        <v>100</v>
      </c>
      <c r="R2">
        <v>1</v>
      </c>
      <c r="T2">
        <f>W1_pR</f>
        <v>-0.5</v>
      </c>
    </row>
    <row r="3" spans="1:20" x14ac:dyDescent="0.35">
      <c r="B3" t="s">
        <v>22</v>
      </c>
      <c r="C3" t="s">
        <v>19</v>
      </c>
      <c r="D3" s="1">
        <v>-0.5</v>
      </c>
      <c r="E3" t="s">
        <v>7</v>
      </c>
      <c r="H3" t="s">
        <v>15</v>
      </c>
      <c r="I3" t="s">
        <v>12</v>
      </c>
      <c r="J3" s="6">
        <f t="shared" ref="J3:J4" si="0">T8</f>
        <v>1.5000000000000013E-2</v>
      </c>
      <c r="P3">
        <f>V2_pR^2</f>
        <v>22500</v>
      </c>
      <c r="Q3">
        <f>V2_pR</f>
        <v>150</v>
      </c>
      <c r="R3">
        <v>1</v>
      </c>
      <c r="T3">
        <f>W2_pR</f>
        <v>-1</v>
      </c>
    </row>
    <row r="4" spans="1:20" x14ac:dyDescent="0.35">
      <c r="B4" t="s">
        <v>23</v>
      </c>
      <c r="C4" t="s">
        <v>5</v>
      </c>
      <c r="D4" s="2">
        <v>150</v>
      </c>
      <c r="E4" t="s">
        <v>8</v>
      </c>
      <c r="H4" t="s">
        <v>16</v>
      </c>
      <c r="I4" t="s">
        <v>13</v>
      </c>
      <c r="J4" s="6">
        <f t="shared" si="0"/>
        <v>-1</v>
      </c>
      <c r="P4">
        <f>V3_pR^2</f>
        <v>40000</v>
      </c>
      <c r="Q4">
        <f>V3_pR</f>
        <v>200</v>
      </c>
      <c r="R4">
        <v>1</v>
      </c>
      <c r="T4">
        <f>W3_pR</f>
        <v>-2</v>
      </c>
    </row>
    <row r="5" spans="1:20" x14ac:dyDescent="0.35">
      <c r="B5" t="s">
        <v>24</v>
      </c>
      <c r="C5" t="s">
        <v>6</v>
      </c>
      <c r="D5" s="1">
        <v>-1</v>
      </c>
      <c r="E5" t="s">
        <v>7</v>
      </c>
    </row>
    <row r="6" spans="1:20" x14ac:dyDescent="0.35">
      <c r="B6" t="s">
        <v>23</v>
      </c>
      <c r="C6" t="s">
        <v>25</v>
      </c>
      <c r="D6" s="2">
        <v>200</v>
      </c>
      <c r="E6" t="s">
        <v>8</v>
      </c>
      <c r="P6" t="s">
        <v>30</v>
      </c>
      <c r="T6" t="s">
        <v>32</v>
      </c>
    </row>
    <row r="7" spans="1:20" x14ac:dyDescent="0.35">
      <c r="B7" t="s">
        <v>24</v>
      </c>
      <c r="C7" t="s">
        <v>26</v>
      </c>
      <c r="D7" s="1">
        <v>-2</v>
      </c>
      <c r="E7" t="s">
        <v>7</v>
      </c>
      <c r="P7">
        <f t="array" ref="P7:R9">MINVERSE(P2:R4)</f>
        <v>2.0000000000000004E-4</v>
      </c>
      <c r="Q7">
        <v>-4.0000000000000002E-4</v>
      </c>
      <c r="R7">
        <v>2.0000000000000001E-4</v>
      </c>
      <c r="T7">
        <f t="array" ref="T7:T9">MMULT(P7:R9,T2:T4)</f>
        <v>-9.9999999999999991E-5</v>
      </c>
    </row>
    <row r="8" spans="1:20" x14ac:dyDescent="0.35">
      <c r="P8">
        <v>-7.0000000000000007E-2</v>
      </c>
      <c r="Q8">
        <v>0.12</v>
      </c>
      <c r="R8">
        <v>-0.05</v>
      </c>
      <c r="T8">
        <v>1.5000000000000013E-2</v>
      </c>
    </row>
    <row r="9" spans="1:20" x14ac:dyDescent="0.35">
      <c r="P9">
        <v>6</v>
      </c>
      <c r="Q9">
        <v>-8</v>
      </c>
      <c r="R9">
        <v>3</v>
      </c>
      <c r="T9">
        <v>-1</v>
      </c>
    </row>
    <row r="10" spans="1:20" x14ac:dyDescent="0.35">
      <c r="G10" s="10" t="s">
        <v>0</v>
      </c>
    </row>
    <row r="11" spans="1:20" x14ac:dyDescent="0.35">
      <c r="H11" t="s">
        <v>2</v>
      </c>
      <c r="I11" t="s">
        <v>4</v>
      </c>
      <c r="J11" s="7">
        <f>-V1_pRC/(3.6*W1_pRC)</f>
        <v>55.555555555555713</v>
      </c>
    </row>
    <row r="12" spans="1:20" x14ac:dyDescent="0.35">
      <c r="H12" t="s">
        <v>3</v>
      </c>
      <c r="I12" t="s">
        <v>1</v>
      </c>
      <c r="J12" s="8">
        <f>-(b_pR - k_pR) / (2 * a_pR)</f>
        <v>100.00000000000001</v>
      </c>
      <c r="K12" t="s">
        <v>8</v>
      </c>
    </row>
    <row r="13" spans="1:20" x14ac:dyDescent="0.35">
      <c r="H13" t="s">
        <v>10</v>
      </c>
      <c r="I13" t="s">
        <v>5</v>
      </c>
      <c r="J13" s="8">
        <f>(-b_pR-SQRT(DELTA2_pR))/(2*a_pR)</f>
        <v>200.00000000000011</v>
      </c>
      <c r="K13" t="s">
        <v>8</v>
      </c>
    </row>
    <row r="14" spans="1:20" ht="29" x14ac:dyDescent="0.35">
      <c r="H14" s="3" t="s">
        <v>17</v>
      </c>
      <c r="I14" s="4" t="s">
        <v>6</v>
      </c>
      <c r="J14" s="5">
        <v>-2</v>
      </c>
      <c r="K14" s="4" t="s">
        <v>7</v>
      </c>
    </row>
    <row r="15" spans="1:20" ht="29" x14ac:dyDescent="0.35">
      <c r="H15" s="3" t="s">
        <v>33</v>
      </c>
      <c r="I15" s="4" t="s">
        <v>19</v>
      </c>
      <c r="J15" s="5">
        <f>a_pR*J12^2+b_pR*J12+c_pR</f>
        <v>-0.49999999999999867</v>
      </c>
      <c r="K15" s="4" t="s">
        <v>7</v>
      </c>
    </row>
    <row r="16" spans="1:20" x14ac:dyDescent="0.35">
      <c r="I16" s="4" t="s">
        <v>18</v>
      </c>
      <c r="J16" s="4">
        <f>b_pR - SQRT(4 * a_pR * c_pR)</f>
        <v>-4.9999999999999871E-3</v>
      </c>
    </row>
    <row r="17" spans="7:11" x14ac:dyDescent="0.35">
      <c r="I17" s="4" t="s">
        <v>38</v>
      </c>
      <c r="J17" s="4">
        <f>b_pR^2-4*a_pR*(c_pR-W2_pRC)</f>
        <v>6.2500000000000034E-4</v>
      </c>
    </row>
    <row r="21" spans="7:11" x14ac:dyDescent="0.35">
      <c r="G21" s="10" t="s">
        <v>39</v>
      </c>
    </row>
    <row r="22" spans="7:11" x14ac:dyDescent="0.35">
      <c r="H22" t="s">
        <v>2</v>
      </c>
      <c r="I22" t="s">
        <v>4</v>
      </c>
      <c r="J22" s="7">
        <f>GR1_pR</f>
        <v>55.555555555555713</v>
      </c>
    </row>
    <row r="23" spans="7:11" x14ac:dyDescent="0.35">
      <c r="H23" t="s">
        <v>3</v>
      </c>
      <c r="I23" t="s">
        <v>1</v>
      </c>
      <c r="J23" s="8">
        <f>V1_pRC</f>
        <v>100.00000000000001</v>
      </c>
      <c r="K23" t="s">
        <v>8</v>
      </c>
    </row>
    <row r="25" spans="7:11" x14ac:dyDescent="0.35">
      <c r="H25" t="s">
        <v>40</v>
      </c>
      <c r="I25" t="s">
        <v>41</v>
      </c>
      <c r="J25" s="7" cm="1">
        <f t="array" ref="J25">a_pR*V0_pR^2+b_pR*V0_pR+c_pR</f>
        <v>-0.437499999999999</v>
      </c>
      <c r="K25" t="s">
        <v>7</v>
      </c>
    </row>
    <row r="26" spans="7:11" x14ac:dyDescent="0.35">
      <c r="H26" t="s">
        <v>42</v>
      </c>
      <c r="I26" t="s">
        <v>43</v>
      </c>
      <c r="J26" s="15">
        <f>-b_pR/(2*a_pR)</f>
        <v>75.000000000000071</v>
      </c>
      <c r="K2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442D-DA84-429F-B98C-837C6ECBD0D4}">
  <dimension ref="A1:K26"/>
  <sheetViews>
    <sheetView workbookViewId="0">
      <selection activeCell="B13" sqref="B13"/>
    </sheetView>
  </sheetViews>
  <sheetFormatPr baseColWidth="10" defaultRowHeight="14.5" x14ac:dyDescent="0.35"/>
  <cols>
    <col min="1" max="1" width="4.7265625" customWidth="1"/>
    <col min="2" max="2" width="26.08984375" customWidth="1"/>
    <col min="3" max="5" width="6.26953125" customWidth="1"/>
    <col min="7" max="7" width="4.7265625" customWidth="1"/>
    <col min="8" max="8" width="26.08984375" customWidth="1"/>
  </cols>
  <sheetData>
    <row r="1" spans="1:11" x14ac:dyDescent="0.35">
      <c r="A1" s="10" t="s">
        <v>9</v>
      </c>
      <c r="G1" s="10" t="s">
        <v>20</v>
      </c>
    </row>
    <row r="2" spans="1:11" x14ac:dyDescent="0.35">
      <c r="B2" t="s">
        <v>14</v>
      </c>
      <c r="C2" t="s">
        <v>11</v>
      </c>
      <c r="D2" s="12">
        <v>-1E-4</v>
      </c>
      <c r="H2" t="s">
        <v>21</v>
      </c>
      <c r="I2" t="s">
        <v>1</v>
      </c>
      <c r="J2" s="2">
        <v>100</v>
      </c>
      <c r="K2" t="s">
        <v>8</v>
      </c>
    </row>
    <row r="3" spans="1:11" x14ac:dyDescent="0.35">
      <c r="B3" t="s">
        <v>15</v>
      </c>
      <c r="C3" t="s">
        <v>12</v>
      </c>
      <c r="D3" s="12">
        <v>1.4999999999999999E-2</v>
      </c>
      <c r="H3" t="s">
        <v>22</v>
      </c>
      <c r="I3" t="s">
        <v>19</v>
      </c>
      <c r="J3" s="7">
        <f>a_pN * J2^2 + b_pN*J2 + c_pN</f>
        <v>-0.5</v>
      </c>
      <c r="K3" t="s">
        <v>7</v>
      </c>
    </row>
    <row r="4" spans="1:11" x14ac:dyDescent="0.35">
      <c r="B4" t="s">
        <v>16</v>
      </c>
      <c r="C4" t="s">
        <v>13</v>
      </c>
      <c r="D4" s="12">
        <v>-1</v>
      </c>
      <c r="H4" t="s">
        <v>23</v>
      </c>
      <c r="I4" t="s">
        <v>5</v>
      </c>
      <c r="J4" s="2">
        <v>150</v>
      </c>
      <c r="K4" t="s">
        <v>8</v>
      </c>
    </row>
    <row r="5" spans="1:11" x14ac:dyDescent="0.35">
      <c r="H5" t="s">
        <v>24</v>
      </c>
      <c r="I5" t="s">
        <v>6</v>
      </c>
      <c r="J5" s="7">
        <f>a_pN * J4^2 + b_pN*J4 + c_pN</f>
        <v>-1</v>
      </c>
      <c r="K5" t="s">
        <v>7</v>
      </c>
    </row>
    <row r="6" spans="1:11" x14ac:dyDescent="0.35">
      <c r="H6" t="s">
        <v>23</v>
      </c>
      <c r="I6" t="s">
        <v>25</v>
      </c>
      <c r="J6" s="2">
        <v>200</v>
      </c>
      <c r="K6" t="s">
        <v>8</v>
      </c>
    </row>
    <row r="7" spans="1:11" x14ac:dyDescent="0.35">
      <c r="H7" t="s">
        <v>24</v>
      </c>
      <c r="I7" t="s">
        <v>26</v>
      </c>
      <c r="J7" s="7">
        <f>a_pN * J6^2 + b_pN*J6 + c_pN</f>
        <v>-2</v>
      </c>
      <c r="K7" t="s">
        <v>7</v>
      </c>
    </row>
    <row r="10" spans="1:11" x14ac:dyDescent="0.35">
      <c r="G10" s="10" t="s">
        <v>0</v>
      </c>
    </row>
    <row r="11" spans="1:11" x14ac:dyDescent="0.35">
      <c r="H11" t="s">
        <v>2</v>
      </c>
      <c r="I11" t="s">
        <v>4</v>
      </c>
      <c r="J11" s="7">
        <f>-V1_pNC/(3.6*W1_pNC)</f>
        <v>55.555555555555557</v>
      </c>
    </row>
    <row r="12" spans="1:11" x14ac:dyDescent="0.35">
      <c r="H12" t="s">
        <v>3</v>
      </c>
      <c r="I12" t="s">
        <v>1</v>
      </c>
      <c r="J12" s="8">
        <f>-(b_pN - k_pN) / (2 * a_pN)</f>
        <v>100</v>
      </c>
      <c r="K12" t="s">
        <v>8</v>
      </c>
    </row>
    <row r="13" spans="1:11" x14ac:dyDescent="0.35">
      <c r="H13" t="s">
        <v>10</v>
      </c>
      <c r="I13" t="s">
        <v>5</v>
      </c>
      <c r="J13" s="8">
        <f>(-b_pN-SQRT(DELTA2_pN))/(2*a_pN)</f>
        <v>200</v>
      </c>
      <c r="K13" t="s">
        <v>8</v>
      </c>
    </row>
    <row r="14" spans="1:11" ht="29" x14ac:dyDescent="0.35">
      <c r="H14" s="3" t="s">
        <v>17</v>
      </c>
      <c r="I14" s="4" t="s">
        <v>6</v>
      </c>
      <c r="J14" s="5">
        <v>-2</v>
      </c>
      <c r="K14" s="4" t="s">
        <v>7</v>
      </c>
    </row>
    <row r="15" spans="1:11" ht="29" x14ac:dyDescent="0.35">
      <c r="H15" s="3" t="s">
        <v>33</v>
      </c>
      <c r="I15" s="4" t="s">
        <v>19</v>
      </c>
      <c r="J15" s="5">
        <f>a_pN*J12^2+b_pN*J12+c_pN</f>
        <v>-0.5</v>
      </c>
      <c r="K15" s="4" t="s">
        <v>7</v>
      </c>
    </row>
    <row r="16" spans="1:11" x14ac:dyDescent="0.35">
      <c r="I16" s="4" t="s">
        <v>18</v>
      </c>
      <c r="J16" s="4">
        <f>b_pN - SQRT(4 * a_pN * c_pN)</f>
        <v>-5.000000000000001E-3</v>
      </c>
    </row>
    <row r="17" spans="7:11" x14ac:dyDescent="0.35">
      <c r="I17" s="4" t="s">
        <v>38</v>
      </c>
      <c r="J17" s="4" cm="1">
        <f t="array" ref="J17">b_pN^2-4*a_pN*(c_pN-W2_pNC)</f>
        <v>6.2500000000000001E-4</v>
      </c>
    </row>
    <row r="21" spans="7:11" x14ac:dyDescent="0.35">
      <c r="G21" s="10" t="s">
        <v>39</v>
      </c>
    </row>
    <row r="22" spans="7:11" x14ac:dyDescent="0.35">
      <c r="H22" t="s">
        <v>2</v>
      </c>
      <c r="I22" t="s">
        <v>4</v>
      </c>
      <c r="J22" s="7" cm="1">
        <f t="array" ref="J22">GR1_pN</f>
        <v>55.555555555555557</v>
      </c>
    </row>
    <row r="23" spans="7:11" x14ac:dyDescent="0.35">
      <c r="H23" t="s">
        <v>3</v>
      </c>
      <c r="I23" t="s">
        <v>1</v>
      </c>
      <c r="J23" s="8">
        <f>V1_pNC</f>
        <v>100</v>
      </c>
      <c r="K23" t="s">
        <v>8</v>
      </c>
    </row>
    <row r="25" spans="7:11" x14ac:dyDescent="0.35">
      <c r="H25" t="s">
        <v>40</v>
      </c>
      <c r="I25" t="s">
        <v>41</v>
      </c>
      <c r="J25" s="7" cm="1">
        <f t="array" ref="J25">a_pN*V0_pN^2+b_pN*V0_pN+c_pN</f>
        <v>-0.4375</v>
      </c>
      <c r="K25" t="s">
        <v>7</v>
      </c>
    </row>
    <row r="26" spans="7:11" x14ac:dyDescent="0.35">
      <c r="H26" t="s">
        <v>42</v>
      </c>
      <c r="I26" t="s">
        <v>43</v>
      </c>
      <c r="J26" s="15">
        <f>-b_pN/(2*a_pN)</f>
        <v>75</v>
      </c>
      <c r="K2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8C4F-CD4A-4EA0-8E01-C64D2C58D50A}">
  <dimension ref="A1:J72"/>
  <sheetViews>
    <sheetView workbookViewId="0">
      <selection activeCell="D16" sqref="D16"/>
    </sheetView>
  </sheetViews>
  <sheetFormatPr baseColWidth="10" defaultRowHeight="14.5" x14ac:dyDescent="0.35"/>
  <cols>
    <col min="3" max="3" width="7.54296875" customWidth="1"/>
    <col min="8" max="8" width="12.453125" bestFit="1" customWidth="1"/>
  </cols>
  <sheetData>
    <row r="1" spans="1:6" s="10" customFormat="1" x14ac:dyDescent="0.35">
      <c r="A1" s="10" t="s">
        <v>27</v>
      </c>
      <c r="B1" s="11" t="s">
        <v>28</v>
      </c>
      <c r="C1" s="11"/>
      <c r="D1" s="11" t="s">
        <v>28</v>
      </c>
      <c r="E1" s="11" t="s">
        <v>27</v>
      </c>
      <c r="F1" s="11" t="s">
        <v>44</v>
      </c>
    </row>
    <row r="2" spans="1:6" x14ac:dyDescent="0.35">
      <c r="A2">
        <v>70</v>
      </c>
      <c r="B2" s="9">
        <v>-0.44</v>
      </c>
      <c r="C2" s="9"/>
      <c r="D2" s="9">
        <f>B2</f>
        <v>-0.44</v>
      </c>
      <c r="E2" s="9">
        <f>$A2</f>
        <v>70</v>
      </c>
      <c r="F2" s="9">
        <f>$A2^2</f>
        <v>4900</v>
      </c>
    </row>
    <row r="3" spans="1:6" x14ac:dyDescent="0.35">
      <c r="A3">
        <v>80</v>
      </c>
      <c r="B3" s="9">
        <v>-0.44</v>
      </c>
      <c r="C3" s="9"/>
      <c r="D3" s="9">
        <f t="shared" ref="D3:D14" si="0">B3</f>
        <v>-0.44</v>
      </c>
      <c r="E3" s="9">
        <f t="shared" ref="E3:E14" si="1">$A3</f>
        <v>80</v>
      </c>
      <c r="F3" s="9">
        <f t="shared" ref="F3:F14" si="2">$A3^2</f>
        <v>6400</v>
      </c>
    </row>
    <row r="4" spans="1:6" x14ac:dyDescent="0.35">
      <c r="A4">
        <v>90</v>
      </c>
      <c r="B4" s="9">
        <v>-0.46</v>
      </c>
      <c r="C4" s="9"/>
      <c r="D4" s="9">
        <f t="shared" si="0"/>
        <v>-0.46</v>
      </c>
      <c r="E4" s="9">
        <f t="shared" si="1"/>
        <v>90</v>
      </c>
      <c r="F4" s="9">
        <f t="shared" si="2"/>
        <v>8100</v>
      </c>
    </row>
    <row r="5" spans="1:6" x14ac:dyDescent="0.35">
      <c r="A5">
        <v>100</v>
      </c>
      <c r="B5" s="9">
        <v>-0.5</v>
      </c>
      <c r="C5" s="9"/>
      <c r="D5" s="9">
        <f t="shared" si="0"/>
        <v>-0.5</v>
      </c>
      <c r="E5" s="9">
        <f t="shared" si="1"/>
        <v>100</v>
      </c>
      <c r="F5" s="9">
        <f t="shared" si="2"/>
        <v>10000</v>
      </c>
    </row>
    <row r="6" spans="1:6" x14ac:dyDescent="0.35">
      <c r="A6">
        <v>110</v>
      </c>
      <c r="B6" s="9">
        <v>-0.56000000000000005</v>
      </c>
      <c r="C6" s="9"/>
      <c r="D6" s="9">
        <f t="shared" si="0"/>
        <v>-0.56000000000000005</v>
      </c>
      <c r="E6" s="9">
        <f t="shared" si="1"/>
        <v>110</v>
      </c>
      <c r="F6" s="9">
        <f t="shared" si="2"/>
        <v>12100</v>
      </c>
    </row>
    <row r="7" spans="1:6" x14ac:dyDescent="0.35">
      <c r="A7">
        <v>120</v>
      </c>
      <c r="B7" s="9">
        <v>-0.64</v>
      </c>
      <c r="C7" s="9"/>
      <c r="D7" s="9">
        <f t="shared" si="0"/>
        <v>-0.64</v>
      </c>
      <c r="E7" s="9">
        <f t="shared" si="1"/>
        <v>120</v>
      </c>
      <c r="F7" s="9">
        <f t="shared" si="2"/>
        <v>14400</v>
      </c>
    </row>
    <row r="8" spans="1:6" x14ac:dyDescent="0.35">
      <c r="A8">
        <v>130</v>
      </c>
      <c r="B8" s="9">
        <v>-0.74</v>
      </c>
      <c r="C8" s="9"/>
      <c r="D8" s="9">
        <f t="shared" si="0"/>
        <v>-0.74</v>
      </c>
      <c r="E8" s="9">
        <f t="shared" si="1"/>
        <v>130</v>
      </c>
      <c r="F8" s="9">
        <f t="shared" si="2"/>
        <v>16900</v>
      </c>
    </row>
    <row r="9" spans="1:6" x14ac:dyDescent="0.35">
      <c r="A9">
        <v>140</v>
      </c>
      <c r="B9" s="9">
        <v>-0.86</v>
      </c>
      <c r="C9" s="9"/>
      <c r="D9" s="9">
        <f t="shared" si="0"/>
        <v>-0.86</v>
      </c>
      <c r="E9" s="9">
        <f t="shared" si="1"/>
        <v>140</v>
      </c>
      <c r="F9" s="9">
        <f t="shared" si="2"/>
        <v>19600</v>
      </c>
    </row>
    <row r="10" spans="1:6" x14ac:dyDescent="0.35">
      <c r="A10">
        <v>150</v>
      </c>
      <c r="B10" s="9">
        <v>-1</v>
      </c>
      <c r="C10" s="9"/>
      <c r="D10" s="9">
        <f t="shared" si="0"/>
        <v>-1</v>
      </c>
      <c r="E10" s="9">
        <f t="shared" si="1"/>
        <v>150</v>
      </c>
      <c r="F10" s="9">
        <f t="shared" si="2"/>
        <v>22500</v>
      </c>
    </row>
    <row r="11" spans="1:6" x14ac:dyDescent="0.35">
      <c r="A11">
        <v>160</v>
      </c>
      <c r="B11" s="9">
        <v>-1.1599999999999999</v>
      </c>
      <c r="C11" s="9"/>
      <c r="D11" s="9">
        <f t="shared" si="0"/>
        <v>-1.1599999999999999</v>
      </c>
      <c r="E11" s="9">
        <f t="shared" si="1"/>
        <v>160</v>
      </c>
      <c r="F11" s="9">
        <f t="shared" si="2"/>
        <v>25600</v>
      </c>
    </row>
    <row r="12" spans="1:6" x14ac:dyDescent="0.35">
      <c r="A12">
        <v>170</v>
      </c>
      <c r="B12" s="9">
        <v>-1.34</v>
      </c>
      <c r="C12" s="9"/>
      <c r="D12" s="9">
        <f t="shared" si="0"/>
        <v>-1.34</v>
      </c>
      <c r="E12" s="9">
        <f t="shared" si="1"/>
        <v>170</v>
      </c>
      <c r="F12" s="9">
        <f t="shared" si="2"/>
        <v>28900</v>
      </c>
    </row>
    <row r="13" spans="1:6" x14ac:dyDescent="0.35">
      <c r="A13">
        <v>180</v>
      </c>
      <c r="B13" s="9">
        <v>-1.54</v>
      </c>
      <c r="C13" s="9"/>
      <c r="D13" s="9">
        <f t="shared" si="0"/>
        <v>-1.54</v>
      </c>
      <c r="E13" s="9">
        <f t="shared" si="1"/>
        <v>180</v>
      </c>
      <c r="F13" s="9">
        <f t="shared" si="2"/>
        <v>32400</v>
      </c>
    </row>
    <row r="14" spans="1:6" x14ac:dyDescent="0.35">
      <c r="A14">
        <v>200</v>
      </c>
      <c r="B14" s="9">
        <v>-2</v>
      </c>
      <c r="C14" s="9"/>
      <c r="D14" s="9">
        <f t="shared" si="0"/>
        <v>-2</v>
      </c>
      <c r="E14" s="9">
        <f t="shared" si="1"/>
        <v>200</v>
      </c>
      <c r="F14" s="9">
        <f t="shared" si="2"/>
        <v>40000</v>
      </c>
    </row>
    <row r="15" spans="1:6" x14ac:dyDescent="0.35">
      <c r="D15" s="9"/>
    </row>
    <row r="18" spans="8:10" x14ac:dyDescent="0.35">
      <c r="H18" t="s">
        <v>45</v>
      </c>
    </row>
    <row r="19" spans="8:10" x14ac:dyDescent="0.35">
      <c r="H19" t="s">
        <v>11</v>
      </c>
      <c r="I19" t="s">
        <v>12</v>
      </c>
      <c r="J19" t="s">
        <v>13</v>
      </c>
    </row>
    <row r="20" spans="8:10" x14ac:dyDescent="0.35">
      <c r="H20" t="s">
        <v>46</v>
      </c>
      <c r="I20" t="s">
        <v>47</v>
      </c>
      <c r="J20" t="s">
        <v>48</v>
      </c>
    </row>
    <row r="21" spans="8:10" x14ac:dyDescent="0.35">
      <c r="H21" cm="1">
        <f t="array" ref="H21:J21">LINEST(D2:D14,E2:F14)</f>
        <v>-1.0000000000000003E-4</v>
      </c>
      <c r="I21">
        <v>1.5000000000000006E-2</v>
      </c>
      <c r="J21">
        <v>-1.0000000000000002</v>
      </c>
    </row>
    <row r="23" spans="8:10" x14ac:dyDescent="0.35">
      <c r="H23" s="11" t="s">
        <v>27</v>
      </c>
      <c r="I23" s="11" t="s">
        <v>28</v>
      </c>
    </row>
    <row r="24" spans="8:10" x14ac:dyDescent="0.35">
      <c r="H24">
        <v>60</v>
      </c>
      <c r="I24">
        <f t="shared" ref="I24:I55" si="3">_c0_d2 + _c1_d2 * H24 + _c2_d2 *H24^2</f>
        <v>-0.45999999999999996</v>
      </c>
    </row>
    <row r="25" spans="8:10" x14ac:dyDescent="0.35">
      <c r="H25">
        <f>H24+5</f>
        <v>65</v>
      </c>
      <c r="I25">
        <f t="shared" si="3"/>
        <v>-0.44749999999999995</v>
      </c>
    </row>
    <row r="26" spans="8:10" x14ac:dyDescent="0.35">
      <c r="H26">
        <f t="shared" ref="H26:H72" si="4">H25+5</f>
        <v>70</v>
      </c>
      <c r="I26">
        <f t="shared" si="3"/>
        <v>-0.43999999999999989</v>
      </c>
    </row>
    <row r="27" spans="8:10" x14ac:dyDescent="0.35">
      <c r="H27">
        <f t="shared" si="4"/>
        <v>75</v>
      </c>
      <c r="I27">
        <f t="shared" si="3"/>
        <v>-0.4375</v>
      </c>
    </row>
    <row r="28" spans="8:10" x14ac:dyDescent="0.35">
      <c r="H28">
        <f t="shared" si="4"/>
        <v>80</v>
      </c>
      <c r="I28">
        <f t="shared" si="3"/>
        <v>-0.43999999999999984</v>
      </c>
    </row>
    <row r="29" spans="8:10" x14ac:dyDescent="0.35">
      <c r="H29">
        <f t="shared" si="4"/>
        <v>85</v>
      </c>
      <c r="I29">
        <f t="shared" si="3"/>
        <v>-0.4474999999999999</v>
      </c>
    </row>
    <row r="30" spans="8:10" x14ac:dyDescent="0.35">
      <c r="H30">
        <f t="shared" si="4"/>
        <v>90</v>
      </c>
      <c r="I30">
        <f t="shared" si="3"/>
        <v>-0.45999999999999996</v>
      </c>
    </row>
    <row r="31" spans="8:10" x14ac:dyDescent="0.35">
      <c r="H31">
        <f t="shared" si="4"/>
        <v>95</v>
      </c>
      <c r="I31">
        <f t="shared" si="3"/>
        <v>-0.47749999999999981</v>
      </c>
    </row>
    <row r="32" spans="8:10" x14ac:dyDescent="0.35">
      <c r="H32">
        <f t="shared" si="4"/>
        <v>100</v>
      </c>
      <c r="I32">
        <f t="shared" si="3"/>
        <v>-0.49999999999999978</v>
      </c>
    </row>
    <row r="33" spans="8:9" x14ac:dyDescent="0.35">
      <c r="H33">
        <f t="shared" si="4"/>
        <v>105</v>
      </c>
      <c r="I33">
        <f t="shared" si="3"/>
        <v>-0.52749999999999986</v>
      </c>
    </row>
    <row r="34" spans="8:9" x14ac:dyDescent="0.35">
      <c r="H34">
        <f t="shared" si="4"/>
        <v>110</v>
      </c>
      <c r="I34">
        <f t="shared" si="3"/>
        <v>-0.55999999999999983</v>
      </c>
    </row>
    <row r="35" spans="8:9" x14ac:dyDescent="0.35">
      <c r="H35">
        <f t="shared" si="4"/>
        <v>115</v>
      </c>
      <c r="I35">
        <f t="shared" si="3"/>
        <v>-0.59749999999999992</v>
      </c>
    </row>
    <row r="36" spans="8:9" x14ac:dyDescent="0.35">
      <c r="H36">
        <f t="shared" si="4"/>
        <v>120</v>
      </c>
      <c r="I36">
        <f t="shared" si="3"/>
        <v>-0.6399999999999999</v>
      </c>
    </row>
    <row r="37" spans="8:9" x14ac:dyDescent="0.35">
      <c r="H37">
        <f t="shared" si="4"/>
        <v>125</v>
      </c>
      <c r="I37">
        <f t="shared" si="3"/>
        <v>-0.68749999999999978</v>
      </c>
    </row>
    <row r="38" spans="8:9" x14ac:dyDescent="0.35">
      <c r="H38">
        <f t="shared" si="4"/>
        <v>130</v>
      </c>
      <c r="I38">
        <f t="shared" si="3"/>
        <v>-0.74</v>
      </c>
    </row>
    <row r="39" spans="8:9" x14ac:dyDescent="0.35">
      <c r="H39">
        <f t="shared" si="4"/>
        <v>135</v>
      </c>
      <c r="I39">
        <f t="shared" si="3"/>
        <v>-0.7975000000000001</v>
      </c>
    </row>
    <row r="40" spans="8:9" x14ac:dyDescent="0.35">
      <c r="H40">
        <f t="shared" si="4"/>
        <v>140</v>
      </c>
      <c r="I40">
        <f t="shared" si="3"/>
        <v>-0.85999999999999988</v>
      </c>
    </row>
    <row r="41" spans="8:9" x14ac:dyDescent="0.35">
      <c r="H41">
        <f t="shared" si="4"/>
        <v>145</v>
      </c>
      <c r="I41">
        <f t="shared" si="3"/>
        <v>-0.92749999999999999</v>
      </c>
    </row>
    <row r="42" spans="8:9" x14ac:dyDescent="0.35">
      <c r="H42">
        <f t="shared" si="4"/>
        <v>150</v>
      </c>
      <c r="I42">
        <f t="shared" si="3"/>
        <v>-1.0000000000000002</v>
      </c>
    </row>
    <row r="43" spans="8:9" x14ac:dyDescent="0.35">
      <c r="H43">
        <f t="shared" si="4"/>
        <v>155</v>
      </c>
      <c r="I43">
        <f t="shared" si="3"/>
        <v>-1.0774999999999999</v>
      </c>
    </row>
    <row r="44" spans="8:9" x14ac:dyDescent="0.35">
      <c r="H44">
        <f t="shared" si="4"/>
        <v>160</v>
      </c>
      <c r="I44">
        <f t="shared" si="3"/>
        <v>-1.1599999999999999</v>
      </c>
    </row>
    <row r="45" spans="8:9" x14ac:dyDescent="0.35">
      <c r="H45">
        <f t="shared" si="4"/>
        <v>165</v>
      </c>
      <c r="I45">
        <f t="shared" si="3"/>
        <v>-1.2475000000000003</v>
      </c>
    </row>
    <row r="46" spans="8:9" x14ac:dyDescent="0.35">
      <c r="H46">
        <f t="shared" si="4"/>
        <v>170</v>
      </c>
      <c r="I46">
        <f t="shared" si="3"/>
        <v>-1.34</v>
      </c>
    </row>
    <row r="47" spans="8:9" x14ac:dyDescent="0.35">
      <c r="H47">
        <f t="shared" si="4"/>
        <v>175</v>
      </c>
      <c r="I47">
        <f t="shared" si="3"/>
        <v>-1.4374999999999998</v>
      </c>
    </row>
    <row r="48" spans="8:9" x14ac:dyDescent="0.35">
      <c r="H48">
        <f t="shared" si="4"/>
        <v>180</v>
      </c>
      <c r="I48">
        <f t="shared" si="3"/>
        <v>-1.5400000000000003</v>
      </c>
    </row>
    <row r="49" spans="8:9" x14ac:dyDescent="0.35">
      <c r="H49">
        <f>H48+5</f>
        <v>185</v>
      </c>
      <c r="I49">
        <f t="shared" si="3"/>
        <v>-1.6475000000000002</v>
      </c>
    </row>
    <row r="50" spans="8:9" x14ac:dyDescent="0.35">
      <c r="H50">
        <f t="shared" si="4"/>
        <v>190</v>
      </c>
      <c r="I50">
        <f t="shared" si="3"/>
        <v>-1.76</v>
      </c>
    </row>
    <row r="51" spans="8:9" x14ac:dyDescent="0.35">
      <c r="H51">
        <f t="shared" si="4"/>
        <v>195</v>
      </c>
      <c r="I51">
        <f t="shared" si="3"/>
        <v>-1.8775000000000002</v>
      </c>
    </row>
    <row r="52" spans="8:9" x14ac:dyDescent="0.35">
      <c r="H52">
        <f t="shared" si="4"/>
        <v>200</v>
      </c>
      <c r="I52">
        <f t="shared" si="3"/>
        <v>-2</v>
      </c>
    </row>
    <row r="53" spans="8:9" x14ac:dyDescent="0.35">
      <c r="H53">
        <f t="shared" si="4"/>
        <v>205</v>
      </c>
      <c r="I53">
        <f t="shared" si="3"/>
        <v>-2.1275000000000004</v>
      </c>
    </row>
    <row r="54" spans="8:9" x14ac:dyDescent="0.35">
      <c r="H54">
        <f t="shared" si="4"/>
        <v>210</v>
      </c>
      <c r="I54">
        <f t="shared" si="3"/>
        <v>-2.2599999999999998</v>
      </c>
    </row>
    <row r="55" spans="8:9" x14ac:dyDescent="0.35">
      <c r="H55">
        <f t="shared" si="4"/>
        <v>215</v>
      </c>
      <c r="I55">
        <f t="shared" si="3"/>
        <v>-2.3975</v>
      </c>
    </row>
    <row r="56" spans="8:9" x14ac:dyDescent="0.35">
      <c r="H56">
        <f t="shared" si="4"/>
        <v>220</v>
      </c>
      <c r="I56">
        <f t="shared" ref="I56:I72" si="5">_c0_d2 + _c1_d2 * H56 + _c2_d2 *H56^2</f>
        <v>-2.54</v>
      </c>
    </row>
    <row r="57" spans="8:9" x14ac:dyDescent="0.35">
      <c r="H57">
        <f>H56+5</f>
        <v>225</v>
      </c>
      <c r="I57">
        <f t="shared" si="5"/>
        <v>-2.6875000000000009</v>
      </c>
    </row>
    <row r="58" spans="8:9" x14ac:dyDescent="0.35">
      <c r="H58">
        <f t="shared" si="4"/>
        <v>230</v>
      </c>
      <c r="I58">
        <f t="shared" si="5"/>
        <v>-2.8400000000000007</v>
      </c>
    </row>
    <row r="59" spans="8:9" x14ac:dyDescent="0.35">
      <c r="H59">
        <f t="shared" si="4"/>
        <v>235</v>
      </c>
      <c r="I59">
        <f t="shared" si="5"/>
        <v>-2.9975000000000005</v>
      </c>
    </row>
    <row r="60" spans="8:9" x14ac:dyDescent="0.35">
      <c r="H60">
        <f t="shared" si="4"/>
        <v>240</v>
      </c>
      <c r="I60">
        <f t="shared" si="5"/>
        <v>-3.16</v>
      </c>
    </row>
    <row r="61" spans="8:9" x14ac:dyDescent="0.35">
      <c r="H61">
        <f t="shared" si="4"/>
        <v>245</v>
      </c>
      <c r="I61">
        <f t="shared" si="5"/>
        <v>-3.3275000000000006</v>
      </c>
    </row>
    <row r="62" spans="8:9" x14ac:dyDescent="0.35">
      <c r="H62">
        <f t="shared" si="4"/>
        <v>250</v>
      </c>
      <c r="I62">
        <f t="shared" si="5"/>
        <v>-3.5</v>
      </c>
    </row>
    <row r="63" spans="8:9" x14ac:dyDescent="0.35">
      <c r="H63">
        <f t="shared" si="4"/>
        <v>255</v>
      </c>
      <c r="I63">
        <f t="shared" si="5"/>
        <v>-3.6775000000000011</v>
      </c>
    </row>
    <row r="64" spans="8:9" x14ac:dyDescent="0.35">
      <c r="H64">
        <f t="shared" si="4"/>
        <v>260</v>
      </c>
      <c r="I64">
        <f t="shared" si="5"/>
        <v>-3.8600000000000012</v>
      </c>
    </row>
    <row r="65" spans="8:9" x14ac:dyDescent="0.35">
      <c r="H65">
        <f t="shared" si="4"/>
        <v>265</v>
      </c>
      <c r="I65">
        <f t="shared" si="5"/>
        <v>-4.0475000000000012</v>
      </c>
    </row>
    <row r="66" spans="8:9" x14ac:dyDescent="0.35">
      <c r="H66">
        <f t="shared" si="4"/>
        <v>270</v>
      </c>
      <c r="I66">
        <f t="shared" si="5"/>
        <v>-4.2400000000000011</v>
      </c>
    </row>
    <row r="67" spans="8:9" x14ac:dyDescent="0.35">
      <c r="H67">
        <f t="shared" si="4"/>
        <v>275</v>
      </c>
      <c r="I67">
        <f t="shared" si="5"/>
        <v>-4.4375000000000009</v>
      </c>
    </row>
    <row r="68" spans="8:9" x14ac:dyDescent="0.35">
      <c r="H68">
        <f t="shared" si="4"/>
        <v>280</v>
      </c>
      <c r="I68">
        <f t="shared" si="5"/>
        <v>-4.6400000000000006</v>
      </c>
    </row>
    <row r="69" spans="8:9" x14ac:dyDescent="0.35">
      <c r="H69">
        <f t="shared" si="4"/>
        <v>285</v>
      </c>
      <c r="I69">
        <f t="shared" si="5"/>
        <v>-4.8475000000000001</v>
      </c>
    </row>
    <row r="70" spans="8:9" x14ac:dyDescent="0.35">
      <c r="H70">
        <f t="shared" si="4"/>
        <v>290</v>
      </c>
      <c r="I70">
        <f t="shared" si="5"/>
        <v>-5.0600000000000005</v>
      </c>
    </row>
    <row r="71" spans="8:9" x14ac:dyDescent="0.35">
      <c r="H71">
        <f t="shared" si="4"/>
        <v>295</v>
      </c>
      <c r="I71">
        <f t="shared" si="5"/>
        <v>-5.2775000000000007</v>
      </c>
    </row>
    <row r="72" spans="8:9" x14ac:dyDescent="0.35">
      <c r="H72">
        <f t="shared" si="4"/>
        <v>300</v>
      </c>
      <c r="I72">
        <f t="shared" si="5"/>
        <v>-5.5000000000000018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A58F-D804-493A-8004-6B500B9B42D5}">
  <dimension ref="A1:N72"/>
  <sheetViews>
    <sheetView workbookViewId="0">
      <selection activeCell="D17" sqref="D17"/>
    </sheetView>
  </sheetViews>
  <sheetFormatPr baseColWidth="10" defaultRowHeight="14.5" x14ac:dyDescent="0.35"/>
  <cols>
    <col min="3" max="3" width="7.54296875" customWidth="1"/>
    <col min="5" max="8" width="11.36328125" customWidth="1"/>
  </cols>
  <sheetData>
    <row r="1" spans="1:8" s="10" customFormat="1" x14ac:dyDescent="0.35">
      <c r="A1" s="10" t="s">
        <v>27</v>
      </c>
      <c r="B1" s="11" t="s">
        <v>28</v>
      </c>
      <c r="C1" s="11"/>
      <c r="D1" s="11" t="s">
        <v>28</v>
      </c>
      <c r="E1" s="11" t="s">
        <v>27</v>
      </c>
      <c r="F1" s="11" t="s">
        <v>44</v>
      </c>
      <c r="G1" s="11" t="s">
        <v>49</v>
      </c>
      <c r="H1" s="11" t="s">
        <v>50</v>
      </c>
    </row>
    <row r="2" spans="1:8" x14ac:dyDescent="0.35">
      <c r="A2">
        <v>70</v>
      </c>
      <c r="B2" s="9">
        <v>-0.44</v>
      </c>
      <c r="C2" s="9"/>
      <c r="D2" s="9">
        <f>B2</f>
        <v>-0.44</v>
      </c>
      <c r="E2" s="14">
        <f>$A2</f>
        <v>70</v>
      </c>
      <c r="F2" s="14">
        <f>$A2^2</f>
        <v>4900</v>
      </c>
      <c r="G2" s="14">
        <f>$A2^3</f>
        <v>343000</v>
      </c>
      <c r="H2" s="14">
        <f>$A2^4</f>
        <v>24010000</v>
      </c>
    </row>
    <row r="3" spans="1:8" x14ac:dyDescent="0.35">
      <c r="A3">
        <v>80</v>
      </c>
      <c r="B3" s="9">
        <v>-0.44</v>
      </c>
      <c r="C3" s="9"/>
      <c r="D3" s="9">
        <f t="shared" ref="D3:D14" si="0">B3</f>
        <v>-0.44</v>
      </c>
      <c r="E3" s="14">
        <f t="shared" ref="E3:E14" si="1">$A3</f>
        <v>80</v>
      </c>
      <c r="F3" s="14">
        <f t="shared" ref="F3:F14" si="2">$A3^2</f>
        <v>6400</v>
      </c>
      <c r="G3" s="14">
        <f t="shared" ref="G3:G14" si="3">$A3^3</f>
        <v>512000</v>
      </c>
      <c r="H3" s="14">
        <f t="shared" ref="H3:H14" si="4">$A3^4</f>
        <v>40960000</v>
      </c>
    </row>
    <row r="4" spans="1:8" x14ac:dyDescent="0.35">
      <c r="A4">
        <v>90</v>
      </c>
      <c r="B4" s="9">
        <v>-0.46</v>
      </c>
      <c r="C4" s="9"/>
      <c r="D4" s="9">
        <f t="shared" si="0"/>
        <v>-0.46</v>
      </c>
      <c r="E4" s="14">
        <f t="shared" si="1"/>
        <v>90</v>
      </c>
      <c r="F4" s="14">
        <f t="shared" si="2"/>
        <v>8100</v>
      </c>
      <c r="G4" s="14">
        <f t="shared" si="3"/>
        <v>729000</v>
      </c>
      <c r="H4" s="14">
        <f t="shared" si="4"/>
        <v>65610000</v>
      </c>
    </row>
    <row r="5" spans="1:8" x14ac:dyDescent="0.35">
      <c r="A5">
        <v>100</v>
      </c>
      <c r="B5" s="9">
        <v>-0.5</v>
      </c>
      <c r="C5" s="9"/>
      <c r="D5" s="9">
        <f t="shared" si="0"/>
        <v>-0.5</v>
      </c>
      <c r="E5" s="14">
        <f t="shared" si="1"/>
        <v>100</v>
      </c>
      <c r="F5" s="14">
        <f t="shared" si="2"/>
        <v>10000</v>
      </c>
      <c r="G5" s="14">
        <f t="shared" si="3"/>
        <v>1000000</v>
      </c>
      <c r="H5" s="14">
        <f t="shared" si="4"/>
        <v>100000000</v>
      </c>
    </row>
    <row r="6" spans="1:8" x14ac:dyDescent="0.35">
      <c r="A6">
        <v>110</v>
      </c>
      <c r="B6" s="9">
        <v>-0.56000000000000005</v>
      </c>
      <c r="C6" s="9"/>
      <c r="D6" s="9">
        <f t="shared" si="0"/>
        <v>-0.56000000000000005</v>
      </c>
      <c r="E6" s="14">
        <f t="shared" si="1"/>
        <v>110</v>
      </c>
      <c r="F6" s="14">
        <f t="shared" si="2"/>
        <v>12100</v>
      </c>
      <c r="G6" s="14">
        <f t="shared" si="3"/>
        <v>1331000</v>
      </c>
      <c r="H6" s="14">
        <f t="shared" si="4"/>
        <v>146410000</v>
      </c>
    </row>
    <row r="7" spans="1:8" x14ac:dyDescent="0.35">
      <c r="A7">
        <v>120</v>
      </c>
      <c r="B7" s="9">
        <v>-0.64</v>
      </c>
      <c r="C7" s="9"/>
      <c r="D7" s="9">
        <f t="shared" si="0"/>
        <v>-0.64</v>
      </c>
      <c r="E7" s="14">
        <f t="shared" si="1"/>
        <v>120</v>
      </c>
      <c r="F7" s="14">
        <f t="shared" si="2"/>
        <v>14400</v>
      </c>
      <c r="G7" s="14">
        <f t="shared" si="3"/>
        <v>1728000</v>
      </c>
      <c r="H7" s="14">
        <f t="shared" si="4"/>
        <v>207360000</v>
      </c>
    </row>
    <row r="8" spans="1:8" x14ac:dyDescent="0.35">
      <c r="A8">
        <v>130</v>
      </c>
      <c r="B8" s="9">
        <v>-0.74</v>
      </c>
      <c r="C8" s="9"/>
      <c r="D8" s="9">
        <f t="shared" si="0"/>
        <v>-0.74</v>
      </c>
      <c r="E8" s="14">
        <f t="shared" si="1"/>
        <v>130</v>
      </c>
      <c r="F8" s="14">
        <f t="shared" si="2"/>
        <v>16900</v>
      </c>
      <c r="G8" s="14">
        <f t="shared" si="3"/>
        <v>2197000</v>
      </c>
      <c r="H8" s="14">
        <f t="shared" si="4"/>
        <v>285610000</v>
      </c>
    </row>
    <row r="9" spans="1:8" x14ac:dyDescent="0.35">
      <c r="A9">
        <v>140</v>
      </c>
      <c r="B9" s="9">
        <v>-0.86</v>
      </c>
      <c r="C9" s="9"/>
      <c r="D9" s="9">
        <f t="shared" si="0"/>
        <v>-0.86</v>
      </c>
      <c r="E9" s="14">
        <f t="shared" si="1"/>
        <v>140</v>
      </c>
      <c r="F9" s="14">
        <f t="shared" si="2"/>
        <v>19600</v>
      </c>
      <c r="G9" s="14">
        <f t="shared" si="3"/>
        <v>2744000</v>
      </c>
      <c r="H9" s="14">
        <f t="shared" si="4"/>
        <v>384160000</v>
      </c>
    </row>
    <row r="10" spans="1:8" x14ac:dyDescent="0.35">
      <c r="A10">
        <v>150</v>
      </c>
      <c r="B10" s="9">
        <v>-1</v>
      </c>
      <c r="C10" s="9"/>
      <c r="D10" s="9">
        <f t="shared" si="0"/>
        <v>-1</v>
      </c>
      <c r="E10" s="14">
        <f t="shared" si="1"/>
        <v>150</v>
      </c>
      <c r="F10" s="14">
        <f t="shared" si="2"/>
        <v>22500</v>
      </c>
      <c r="G10" s="14">
        <f t="shared" si="3"/>
        <v>3375000</v>
      </c>
      <c r="H10" s="14">
        <f t="shared" si="4"/>
        <v>506250000</v>
      </c>
    </row>
    <row r="11" spans="1:8" x14ac:dyDescent="0.35">
      <c r="A11">
        <v>160</v>
      </c>
      <c r="B11" s="9">
        <v>-1.1599999999999999</v>
      </c>
      <c r="C11" s="9"/>
      <c r="D11" s="9">
        <f t="shared" si="0"/>
        <v>-1.1599999999999999</v>
      </c>
      <c r="E11" s="14">
        <f t="shared" si="1"/>
        <v>160</v>
      </c>
      <c r="F11" s="14">
        <f t="shared" si="2"/>
        <v>25600</v>
      </c>
      <c r="G11" s="14">
        <f t="shared" si="3"/>
        <v>4096000</v>
      </c>
      <c r="H11" s="14">
        <f t="shared" si="4"/>
        <v>655360000</v>
      </c>
    </row>
    <row r="12" spans="1:8" x14ac:dyDescent="0.35">
      <c r="A12">
        <v>170</v>
      </c>
      <c r="B12" s="9">
        <v>-1.34</v>
      </c>
      <c r="C12" s="9"/>
      <c r="D12" s="9">
        <f t="shared" si="0"/>
        <v>-1.34</v>
      </c>
      <c r="E12" s="14">
        <f t="shared" si="1"/>
        <v>170</v>
      </c>
      <c r="F12" s="14">
        <f t="shared" si="2"/>
        <v>28900</v>
      </c>
      <c r="G12" s="14">
        <f t="shared" si="3"/>
        <v>4913000</v>
      </c>
      <c r="H12" s="14">
        <f t="shared" si="4"/>
        <v>835210000</v>
      </c>
    </row>
    <row r="13" spans="1:8" x14ac:dyDescent="0.35">
      <c r="A13">
        <v>180</v>
      </c>
      <c r="B13" s="9">
        <v>-1.54</v>
      </c>
      <c r="C13" s="9"/>
      <c r="D13" s="9">
        <f t="shared" si="0"/>
        <v>-1.54</v>
      </c>
      <c r="E13" s="14">
        <f t="shared" si="1"/>
        <v>180</v>
      </c>
      <c r="F13" s="14">
        <f t="shared" si="2"/>
        <v>32400</v>
      </c>
      <c r="G13" s="14">
        <f t="shared" si="3"/>
        <v>5832000</v>
      </c>
      <c r="H13" s="14">
        <f t="shared" si="4"/>
        <v>1049760000</v>
      </c>
    </row>
    <row r="14" spans="1:8" x14ac:dyDescent="0.35">
      <c r="A14">
        <v>200</v>
      </c>
      <c r="B14" s="9">
        <v>-2</v>
      </c>
      <c r="C14" s="9"/>
      <c r="D14" s="9">
        <f t="shared" si="0"/>
        <v>-2</v>
      </c>
      <c r="E14" s="14">
        <f t="shared" si="1"/>
        <v>200</v>
      </c>
      <c r="F14" s="14">
        <f t="shared" si="2"/>
        <v>40000</v>
      </c>
      <c r="G14" s="14">
        <f t="shared" si="3"/>
        <v>8000000</v>
      </c>
      <c r="H14" s="14">
        <f t="shared" si="4"/>
        <v>1600000000</v>
      </c>
    </row>
    <row r="15" spans="1:8" x14ac:dyDescent="0.35">
      <c r="D15" s="9"/>
    </row>
    <row r="18" spans="10:14" x14ac:dyDescent="0.35">
      <c r="J18" t="s">
        <v>51</v>
      </c>
    </row>
    <row r="20" spans="10:14" x14ac:dyDescent="0.35">
      <c r="J20" t="s">
        <v>52</v>
      </c>
      <c r="K20" t="s">
        <v>53</v>
      </c>
      <c r="L20" t="s">
        <v>46</v>
      </c>
      <c r="M20" t="s">
        <v>47</v>
      </c>
      <c r="N20" t="s">
        <v>48</v>
      </c>
    </row>
    <row r="21" spans="10:14" x14ac:dyDescent="0.35">
      <c r="J21" cm="1">
        <f t="array" ref="J21:N21">LINEST(D2:D14,E2:H14)</f>
        <v>1.0992257219527664E-23</v>
      </c>
      <c r="K21">
        <v>-4.3278564816957235E-21</v>
      </c>
      <c r="L21">
        <v>-9.9999999999999517E-5</v>
      </c>
      <c r="M21">
        <v>1.4999999999999993E-2</v>
      </c>
      <c r="N21">
        <v>-1.0000000000000007</v>
      </c>
    </row>
    <row r="23" spans="10:14" x14ac:dyDescent="0.35">
      <c r="J23" s="11" t="s">
        <v>27</v>
      </c>
      <c r="K23" s="11" t="s">
        <v>28</v>
      </c>
    </row>
    <row r="24" spans="10:14" x14ac:dyDescent="0.35">
      <c r="J24">
        <v>60</v>
      </c>
      <c r="K24">
        <f t="shared" ref="K24:K72" si="5">$N$21 + $M$21 * J24 + $L$21 *J24^2 + $K$21 * J24^3 + $J$21 * J24^4</f>
        <v>-0.46000000000000013</v>
      </c>
    </row>
    <row r="25" spans="10:14" x14ac:dyDescent="0.35">
      <c r="J25">
        <f t="shared" ref="J25:J72" si="6">J24+5</f>
        <v>65</v>
      </c>
      <c r="K25">
        <f t="shared" si="5"/>
        <v>-0.44750000000000001</v>
      </c>
    </row>
    <row r="26" spans="10:14" x14ac:dyDescent="0.35">
      <c r="J26">
        <f t="shared" si="6"/>
        <v>70</v>
      </c>
      <c r="K26">
        <f t="shared" si="5"/>
        <v>-0.44000000000000017</v>
      </c>
    </row>
    <row r="27" spans="10:14" x14ac:dyDescent="0.35">
      <c r="J27">
        <f t="shared" si="6"/>
        <v>75</v>
      </c>
      <c r="K27">
        <f t="shared" si="5"/>
        <v>-0.43750000000000017</v>
      </c>
    </row>
    <row r="28" spans="10:14" x14ac:dyDescent="0.35">
      <c r="J28">
        <f t="shared" si="6"/>
        <v>80</v>
      </c>
      <c r="K28">
        <f t="shared" si="5"/>
        <v>-0.44000000000000006</v>
      </c>
    </row>
    <row r="29" spans="10:14" x14ac:dyDescent="0.35">
      <c r="J29">
        <f t="shared" si="6"/>
        <v>85</v>
      </c>
      <c r="K29">
        <f t="shared" si="5"/>
        <v>-0.44749999999999979</v>
      </c>
    </row>
    <row r="30" spans="10:14" x14ac:dyDescent="0.35">
      <c r="J30">
        <f t="shared" si="6"/>
        <v>90</v>
      </c>
      <c r="K30">
        <f t="shared" si="5"/>
        <v>-0.45999999999999974</v>
      </c>
    </row>
    <row r="31" spans="10:14" x14ac:dyDescent="0.35">
      <c r="J31">
        <f t="shared" si="6"/>
        <v>95</v>
      </c>
      <c r="K31">
        <f t="shared" si="5"/>
        <v>-0.47749999999999976</v>
      </c>
    </row>
    <row r="32" spans="10:14" x14ac:dyDescent="0.35">
      <c r="J32">
        <f t="shared" si="6"/>
        <v>100</v>
      </c>
      <c r="K32">
        <f t="shared" si="5"/>
        <v>-0.49999999999999967</v>
      </c>
    </row>
    <row r="33" spans="10:11" x14ac:dyDescent="0.35">
      <c r="J33">
        <f t="shared" si="6"/>
        <v>105</v>
      </c>
      <c r="K33">
        <f t="shared" si="5"/>
        <v>-0.52749999999999975</v>
      </c>
    </row>
    <row r="34" spans="10:11" x14ac:dyDescent="0.35">
      <c r="J34">
        <f t="shared" si="6"/>
        <v>110</v>
      </c>
      <c r="K34">
        <f t="shared" si="5"/>
        <v>-0.55999999999999983</v>
      </c>
    </row>
    <row r="35" spans="10:11" x14ac:dyDescent="0.35">
      <c r="J35">
        <f t="shared" si="6"/>
        <v>115</v>
      </c>
      <c r="K35">
        <f t="shared" si="5"/>
        <v>-0.5974999999999997</v>
      </c>
    </row>
    <row r="36" spans="10:11" x14ac:dyDescent="0.35">
      <c r="J36">
        <f t="shared" si="6"/>
        <v>120</v>
      </c>
      <c r="K36">
        <f t="shared" si="5"/>
        <v>-0.63999999999999968</v>
      </c>
    </row>
    <row r="37" spans="10:11" x14ac:dyDescent="0.35">
      <c r="J37">
        <f t="shared" si="6"/>
        <v>125</v>
      </c>
      <c r="K37">
        <f t="shared" si="5"/>
        <v>-0.68749999999999978</v>
      </c>
    </row>
    <row r="38" spans="10:11" x14ac:dyDescent="0.35">
      <c r="J38">
        <f t="shared" si="6"/>
        <v>130</v>
      </c>
      <c r="K38">
        <f t="shared" si="5"/>
        <v>-0.73999999999999977</v>
      </c>
    </row>
    <row r="39" spans="10:11" x14ac:dyDescent="0.35">
      <c r="J39">
        <f t="shared" si="6"/>
        <v>135</v>
      </c>
      <c r="K39">
        <f t="shared" si="5"/>
        <v>-0.79749999999999976</v>
      </c>
    </row>
    <row r="40" spans="10:11" x14ac:dyDescent="0.35">
      <c r="J40">
        <f t="shared" si="6"/>
        <v>140</v>
      </c>
      <c r="K40">
        <f t="shared" si="5"/>
        <v>-0.86000000000000021</v>
      </c>
    </row>
    <row r="41" spans="10:11" x14ac:dyDescent="0.35">
      <c r="J41">
        <f t="shared" si="6"/>
        <v>145</v>
      </c>
      <c r="K41">
        <f t="shared" si="5"/>
        <v>-0.92749999999999988</v>
      </c>
    </row>
    <row r="42" spans="10:11" x14ac:dyDescent="0.35">
      <c r="J42">
        <f t="shared" si="6"/>
        <v>150</v>
      </c>
      <c r="K42">
        <f t="shared" si="5"/>
        <v>-1.0000000000000004</v>
      </c>
    </row>
    <row r="43" spans="10:11" x14ac:dyDescent="0.35">
      <c r="J43">
        <f t="shared" si="6"/>
        <v>155</v>
      </c>
      <c r="K43">
        <f t="shared" si="5"/>
        <v>-1.0774999999999999</v>
      </c>
    </row>
    <row r="44" spans="10:11" x14ac:dyDescent="0.35">
      <c r="J44">
        <f t="shared" si="6"/>
        <v>160</v>
      </c>
      <c r="K44">
        <f t="shared" si="5"/>
        <v>-1.1600000000000004</v>
      </c>
    </row>
    <row r="45" spans="10:11" x14ac:dyDescent="0.35">
      <c r="J45">
        <f t="shared" si="6"/>
        <v>165</v>
      </c>
      <c r="K45">
        <f t="shared" si="5"/>
        <v>-1.2475000000000001</v>
      </c>
    </row>
    <row r="46" spans="10:11" x14ac:dyDescent="0.35">
      <c r="J46">
        <f t="shared" si="6"/>
        <v>170</v>
      </c>
      <c r="K46">
        <f t="shared" si="5"/>
        <v>-1.3399999999999999</v>
      </c>
    </row>
    <row r="47" spans="10:11" x14ac:dyDescent="0.35">
      <c r="J47">
        <f t="shared" si="6"/>
        <v>175</v>
      </c>
      <c r="K47">
        <f t="shared" si="5"/>
        <v>-1.4375000000000002</v>
      </c>
    </row>
    <row r="48" spans="10:11" x14ac:dyDescent="0.35">
      <c r="J48">
        <f t="shared" si="6"/>
        <v>180</v>
      </c>
      <c r="K48">
        <f t="shared" si="5"/>
        <v>-1.5399999999999998</v>
      </c>
    </row>
    <row r="49" spans="10:11" x14ac:dyDescent="0.35">
      <c r="J49">
        <f t="shared" si="6"/>
        <v>185</v>
      </c>
      <c r="K49">
        <f t="shared" si="5"/>
        <v>-1.6475</v>
      </c>
    </row>
    <row r="50" spans="10:11" x14ac:dyDescent="0.35">
      <c r="J50">
        <f t="shared" si="6"/>
        <v>190</v>
      </c>
      <c r="K50">
        <f t="shared" si="5"/>
        <v>-1.7599999999999998</v>
      </c>
    </row>
    <row r="51" spans="10:11" x14ac:dyDescent="0.35">
      <c r="J51">
        <f t="shared" si="6"/>
        <v>195</v>
      </c>
      <c r="K51">
        <f t="shared" si="5"/>
        <v>-1.8774999999999999</v>
      </c>
    </row>
    <row r="52" spans="10:11" x14ac:dyDescent="0.35">
      <c r="J52">
        <f t="shared" si="6"/>
        <v>200</v>
      </c>
      <c r="K52">
        <f t="shared" si="5"/>
        <v>-1.9999999999999993</v>
      </c>
    </row>
    <row r="53" spans="10:11" x14ac:dyDescent="0.35">
      <c r="J53">
        <f t="shared" si="6"/>
        <v>205</v>
      </c>
      <c r="K53">
        <f t="shared" si="5"/>
        <v>-2.1275000000000004</v>
      </c>
    </row>
    <row r="54" spans="10:11" x14ac:dyDescent="0.35">
      <c r="J54">
        <f t="shared" si="6"/>
        <v>210</v>
      </c>
      <c r="K54">
        <f t="shared" si="5"/>
        <v>-2.2599999999999998</v>
      </c>
    </row>
    <row r="55" spans="10:11" x14ac:dyDescent="0.35">
      <c r="J55">
        <f t="shared" si="6"/>
        <v>215</v>
      </c>
      <c r="K55">
        <f t="shared" si="5"/>
        <v>-2.3974999999999991</v>
      </c>
    </row>
    <row r="56" spans="10:11" x14ac:dyDescent="0.35">
      <c r="J56">
        <f t="shared" si="6"/>
        <v>220</v>
      </c>
      <c r="K56">
        <f t="shared" si="5"/>
        <v>-2.5399999999999991</v>
      </c>
    </row>
    <row r="57" spans="10:11" x14ac:dyDescent="0.35">
      <c r="J57">
        <f t="shared" si="6"/>
        <v>225</v>
      </c>
      <c r="K57">
        <f t="shared" si="5"/>
        <v>-2.6874999999999991</v>
      </c>
    </row>
    <row r="58" spans="10:11" x14ac:dyDescent="0.35">
      <c r="J58">
        <f t="shared" si="6"/>
        <v>230</v>
      </c>
      <c r="K58">
        <f t="shared" si="5"/>
        <v>-2.839999999999999</v>
      </c>
    </row>
    <row r="59" spans="10:11" x14ac:dyDescent="0.35">
      <c r="J59">
        <f t="shared" si="6"/>
        <v>235</v>
      </c>
      <c r="K59">
        <f t="shared" si="5"/>
        <v>-2.9974999999999983</v>
      </c>
    </row>
    <row r="60" spans="10:11" x14ac:dyDescent="0.35">
      <c r="J60">
        <f t="shared" si="6"/>
        <v>240</v>
      </c>
      <c r="K60">
        <f t="shared" si="5"/>
        <v>-3.1599999999999979</v>
      </c>
    </row>
    <row r="61" spans="10:11" x14ac:dyDescent="0.35">
      <c r="J61">
        <f t="shared" si="6"/>
        <v>245</v>
      </c>
      <c r="K61">
        <f t="shared" si="5"/>
        <v>-3.3274999999999979</v>
      </c>
    </row>
    <row r="62" spans="10:11" x14ac:dyDescent="0.35">
      <c r="J62">
        <f t="shared" si="6"/>
        <v>250</v>
      </c>
      <c r="K62">
        <f t="shared" si="5"/>
        <v>-3.4999999999999969</v>
      </c>
    </row>
    <row r="63" spans="10:11" x14ac:dyDescent="0.35">
      <c r="J63">
        <f t="shared" si="6"/>
        <v>255</v>
      </c>
      <c r="K63">
        <f t="shared" si="5"/>
        <v>-3.6774999999999962</v>
      </c>
    </row>
    <row r="64" spans="10:11" x14ac:dyDescent="0.35">
      <c r="J64">
        <f t="shared" si="6"/>
        <v>260</v>
      </c>
      <c r="K64">
        <f t="shared" si="5"/>
        <v>-3.859999999999995</v>
      </c>
    </row>
    <row r="65" spans="10:11" x14ac:dyDescent="0.35">
      <c r="J65">
        <f t="shared" si="6"/>
        <v>265</v>
      </c>
      <c r="K65">
        <f t="shared" si="5"/>
        <v>-4.0474999999999959</v>
      </c>
    </row>
    <row r="66" spans="10:11" x14ac:dyDescent="0.35">
      <c r="J66">
        <f t="shared" si="6"/>
        <v>270</v>
      </c>
      <c r="K66">
        <f t="shared" si="5"/>
        <v>-4.239999999999994</v>
      </c>
    </row>
    <row r="67" spans="10:11" x14ac:dyDescent="0.35">
      <c r="J67">
        <f t="shared" si="6"/>
        <v>275</v>
      </c>
      <c r="K67">
        <f t="shared" si="5"/>
        <v>-4.4374999999999929</v>
      </c>
    </row>
    <row r="68" spans="10:11" x14ac:dyDescent="0.35">
      <c r="J68">
        <f t="shared" si="6"/>
        <v>280</v>
      </c>
      <c r="K68">
        <f t="shared" si="5"/>
        <v>-4.6399999999999935</v>
      </c>
    </row>
    <row r="69" spans="10:11" x14ac:dyDescent="0.35">
      <c r="J69">
        <f t="shared" si="6"/>
        <v>285</v>
      </c>
      <c r="K69">
        <f t="shared" si="5"/>
        <v>-4.8474999999999921</v>
      </c>
    </row>
    <row r="70" spans="10:11" x14ac:dyDescent="0.35">
      <c r="J70">
        <f t="shared" si="6"/>
        <v>290</v>
      </c>
      <c r="K70">
        <f t="shared" si="5"/>
        <v>-5.0599999999999898</v>
      </c>
    </row>
    <row r="71" spans="10:11" x14ac:dyDescent="0.35">
      <c r="J71">
        <f t="shared" si="6"/>
        <v>295</v>
      </c>
      <c r="K71">
        <f t="shared" si="5"/>
        <v>-5.2774999999999883</v>
      </c>
    </row>
    <row r="72" spans="10:11" x14ac:dyDescent="0.35">
      <c r="J72">
        <f t="shared" si="6"/>
        <v>300</v>
      </c>
      <c r="K72">
        <f t="shared" si="5"/>
        <v>-5.4999999999999893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39</vt:i4>
      </vt:variant>
    </vt:vector>
  </HeadingPairs>
  <TitlesOfParts>
    <vt:vector size="44" baseType="lpstr">
      <vt:lpstr>Cambridge</vt:lpstr>
      <vt:lpstr>Reichmann</vt:lpstr>
      <vt:lpstr>Naviter</vt:lpstr>
      <vt:lpstr>Régression deg 2</vt:lpstr>
      <vt:lpstr>Régression deg 4</vt:lpstr>
      <vt:lpstr>_c0_d2</vt:lpstr>
      <vt:lpstr>_c1_d2</vt:lpstr>
      <vt:lpstr>_c2_d2</vt:lpstr>
      <vt:lpstr>a_pC</vt:lpstr>
      <vt:lpstr>a_pN</vt:lpstr>
      <vt:lpstr>a_pR</vt:lpstr>
      <vt:lpstr>b_pC</vt:lpstr>
      <vt:lpstr>b_pN</vt:lpstr>
      <vt:lpstr>b_pR</vt:lpstr>
      <vt:lpstr>c_pC</vt:lpstr>
      <vt:lpstr>c_pN</vt:lpstr>
      <vt:lpstr>c_pR</vt:lpstr>
      <vt:lpstr>DELTA2_pN</vt:lpstr>
      <vt:lpstr>DELTA2_pR</vt:lpstr>
      <vt:lpstr>GR1_pC</vt:lpstr>
      <vt:lpstr>GR1_pN</vt:lpstr>
      <vt:lpstr>GR1_pR</vt:lpstr>
      <vt:lpstr>k_pC</vt:lpstr>
      <vt:lpstr>k_pN</vt:lpstr>
      <vt:lpstr>k_pR</vt:lpstr>
      <vt:lpstr>V0_pC</vt:lpstr>
      <vt:lpstr>V0_pN</vt:lpstr>
      <vt:lpstr>V0_pR</vt:lpstr>
      <vt:lpstr>V1_pC</vt:lpstr>
      <vt:lpstr>V1_pNC</vt:lpstr>
      <vt:lpstr>V1_pR</vt:lpstr>
      <vt:lpstr>V1_pRC</vt:lpstr>
      <vt:lpstr>V2_pC</vt:lpstr>
      <vt:lpstr>V2_pR</vt:lpstr>
      <vt:lpstr>V3_pR</vt:lpstr>
      <vt:lpstr>W1_pC</vt:lpstr>
      <vt:lpstr>W1_pNC</vt:lpstr>
      <vt:lpstr>W1_pR</vt:lpstr>
      <vt:lpstr>W1_pRC</vt:lpstr>
      <vt:lpstr>W2_pC</vt:lpstr>
      <vt:lpstr>W2_pNC</vt:lpstr>
      <vt:lpstr>W2_pR</vt:lpstr>
      <vt:lpstr>W2_pRC</vt:lpstr>
      <vt:lpstr>W3_pR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Celles</dc:creator>
  <cp:lastModifiedBy>Sébastien Celles</cp:lastModifiedBy>
  <dcterms:created xsi:type="dcterms:W3CDTF">2021-05-16T19:29:12Z</dcterms:created>
  <dcterms:modified xsi:type="dcterms:W3CDTF">2021-05-17T16:52:36Z</dcterms:modified>
</cp:coreProperties>
</file>